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jaakk\Google Drive\Fligthpath Finance - Financial Model Draft\Blog\In Use\"/>
    </mc:Choice>
  </mc:AlternateContent>
  <bookViews>
    <workbookView xWindow="0" yWindow="0" windowWidth="28800" windowHeight="11610" firstSheet="2" activeTab="3"/>
  </bookViews>
  <sheets>
    <sheet name="Budget Vs Actuals" sheetId="10" r:id="rId1"/>
    <sheet name="Dashboard" sheetId="5" r:id="rId2"/>
    <sheet name="Revenue Model" sheetId="12" r:id="rId3"/>
    <sheet name="Operating Model" sheetId="1" r:id="rId4"/>
    <sheet name="Payroll Model" sheetId="8" r:id="rId5"/>
    <sheet name="Profit and Loss Export" sheetId="4" r:id="rId6"/>
    <sheet name="MRR Export" sheetId="14" r:id="rId7"/>
    <sheet name="Customer Export" sheetId="15" r:id="rId8"/>
    <sheet name="Forecast Export" sheetId="16" r:id="rId9"/>
    <sheet name="Controls" sheetId="11" r:id="rId10"/>
  </sheets>
  <definedNames>
    <definedName name="ARPU_Array">'Revenue Model'!$36:$36</definedName>
    <definedName name="Churn_Array">'Revenue Model'!$19:$19</definedName>
    <definedName name="Churn_Base_Case">Dashboard!$M$12</definedName>
    <definedName name="Churn_Fallback">Dashboard!$N$12</definedName>
    <definedName name="Churn_Optimistic">Dashboard!$L$12</definedName>
    <definedName name="Contract_Labor_COS">'Payroll Model'!$22:$22</definedName>
    <definedName name="Contract_Labor_G_A">'Payroll Model'!$25:$25</definedName>
    <definedName name="Contract_Labor_R_D">'Payroll Model'!$24:$24</definedName>
    <definedName name="Contract_Labor_S_M">'Payroll Model'!$23:$23</definedName>
    <definedName name="COS_Payroll">'Payroll Model'!$40:$40</definedName>
    <definedName name="Customer_Export_Churned_Customers">'Customer Export'!$C:$C</definedName>
    <definedName name="Customer_Export_Contractions">'Customer Export'!$G:$G</definedName>
    <definedName name="Customer_Export_Date">'Customer Export'!$A:$A</definedName>
    <definedName name="Customer_Export_Expansions">'Customer Export'!$F:$F</definedName>
    <definedName name="Customer_Export_New_Customers">'Customer Export'!$B:$B</definedName>
    <definedName name="Customer_Export_Reactivated_Customers">'Customer Export'!$D:$D</definedName>
    <definedName name="Customer_Export_Total_Customers">'Customer Export'!$H:$H</definedName>
    <definedName name="Expansion_ARPU_Base_Case">Dashboard!$M$15</definedName>
    <definedName name="Expansion_ARPU_Fallback">Dashboard!$N$15</definedName>
    <definedName name="Expansion_ARPU_Optimistic">Dashboard!$L$15</definedName>
    <definedName name="Expansions_Base_Case">Dashboard!$M$11</definedName>
    <definedName name="Expansions_Fallback">Dashboard!$N$11</definedName>
    <definedName name="Expansions_Optimistic">Dashboard!$L$11</definedName>
    <definedName name="Forecast_Export_Date">'Forecast Export'!$A:$A</definedName>
    <definedName name="Forecast_Export_Monthly">'Forecast Export'!$B:$B</definedName>
    <definedName name="Forecast_Export_Yearly">'Forecast Export'!$C:$C</definedName>
    <definedName name="Forecast_Start_Date">Controls!$B$6</definedName>
    <definedName name="G_A_Payroll">'Payroll Model'!$43:$43</definedName>
    <definedName name="Gross_Burn_Array">'Operating Model'!$93:$93</definedName>
    <definedName name="Historicals_Start_Date">Controls!$B$5</definedName>
    <definedName name="Input_Types">Controls!$A$21:$A$24</definedName>
    <definedName name="Investment_Amount">Controls!$B$9</definedName>
    <definedName name="Investment_Date">Controls!$B$10</definedName>
    <definedName name="MRR_Export_Churn">'MRR Export'!$C:$C</definedName>
    <definedName name="MRR_Export_Contraction">'MRR Export'!$D:$D</definedName>
    <definedName name="MRR_Export_Date">'MRR Export'!$A:$A</definedName>
    <definedName name="MRR_Export_Expansion">'MRR Export'!$E:$E</definedName>
    <definedName name="MRR_Export_New">'MRR Export'!$B:$B</definedName>
    <definedName name="MRR_Export_Reactivation">'MRR Export'!$F:$F</definedName>
    <definedName name="Net_Income_Array">'Operating Model'!$84:$84</definedName>
    <definedName name="New_Customer_ARPU_Base_Case">Dashboard!$M$14</definedName>
    <definedName name="New_Customer_ARPU_Fallback">Dashboard!$N$14</definedName>
    <definedName name="New_Customer_ARPU_Optimistic">Dashboard!$L$14</definedName>
    <definedName name="New_Customers_Base_Case">Dashboard!$M$10</definedName>
    <definedName name="New_Customers_Fallback">Dashboard!$N$10</definedName>
    <definedName name="New_Customers_Optimistic">Dashboard!$L$10</definedName>
    <definedName name="Operating_Model_Months">'Operating Model'!$5:$5</definedName>
    <definedName name="Payroll_Benefits_Array_COS">'Payroll Model'!$34:$34</definedName>
    <definedName name="Payroll_Benefits_Array_G_A">'Payroll Model'!$37:$37</definedName>
    <definedName name="Payroll_Benefits_Array_R_D">'Payroll Model'!$36:$36</definedName>
    <definedName name="Payroll_Benefits_Array_S_M">'Payroll Model'!$35:$35</definedName>
    <definedName name="Payroll_Mappings">'Payroll Model'!$C:$C</definedName>
    <definedName name="Payroll_Months">'Payroll Model'!$1:$1</definedName>
    <definedName name="Payroll_Taxes_Array_COS">'Payroll Model'!$28:$28</definedName>
    <definedName name="Payroll_Taxes_Array_G_A">'Payroll Model'!$31:$31</definedName>
    <definedName name="Payroll_Taxes_Array_R_D">'Payroll Model'!$30:$30</definedName>
    <definedName name="Payroll_Taxes_Array_S_M">'Payroll Model'!$29:$29</definedName>
    <definedName name="PnL_Apr_2017">'Profit and Loss Export'!$E:$E</definedName>
    <definedName name="PnL_Aug_2017">'Profit and Loss Export'!$I:$I</definedName>
    <definedName name="PnL_Dec_2017">'Profit and Loss Export'!$M:$M</definedName>
    <definedName name="PnL_Feb_2017">'Profit and Loss Export'!$C:$C</definedName>
    <definedName name="PnL_Jan_2017">'Profit and Loss Export'!$B:$B</definedName>
    <definedName name="PnL_Jul_2017">'Profit and Loss Export'!$H:$H</definedName>
    <definedName name="PnL_Jun_2017">'Profit and Loss Export'!$G:$G</definedName>
    <definedName name="PnL_Mar_2017">'Profit and Loss Export'!$D:$D</definedName>
    <definedName name="PnL_May_2017">'Profit and Loss Export'!$F:$F</definedName>
    <definedName name="PnL_Nov_2017">'Profit and Loss Export'!$L:$L</definedName>
    <definedName name="PnL_Oct_2017">'Profit and Loss Export'!$K:$K</definedName>
    <definedName name="PnL_Sep_2017">'Profit and Loss Export'!$J:$J</definedName>
    <definedName name="_xlnm.Print_Area" localSheetId="1">Dashboard!$A$1:$O$66</definedName>
    <definedName name="Profit_and_Loss_Categories">'Profit and Loss Export'!$A:$A</definedName>
    <definedName name="R_D_Payroll">'Payroll Model'!$42:$42</definedName>
    <definedName name="Revenue_Forecast_Array">'Revenue Model'!$42:$42</definedName>
    <definedName name="Revenue_Model_Months">'Revenue Model'!$1:$1</definedName>
    <definedName name="S_M_Payroll">'Payroll Model'!$41:$41</definedName>
    <definedName name="Salaries_Array_COS">'Payroll Model'!$16:$16</definedName>
    <definedName name="Salaries_Array_G_A">'Payroll Model'!$19:$19</definedName>
    <definedName name="Salaries_Array_R_D">'Payroll Model'!$18:$18</definedName>
    <definedName name="Salaries_Array_S_M">'Payroll Model'!$17:$17</definedName>
    <definedName name="Scenario">Dashboard!$L$19</definedName>
    <definedName name="Starting_Cash_Balance">Controls!$B$8</definedName>
    <definedName name="Total_Cost_of_Sales">'Operating Model'!$28:$28</definedName>
    <definedName name="Total_Expenses">'Operating Model'!$71:$71</definedName>
    <definedName name="Total_Income">'Operating Model'!$16:$16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15" i="4"/>
  <c r="E9" i="4"/>
  <c r="E30" i="4" l="1"/>
  <c r="E16" i="4"/>
  <c r="I34" i="12"/>
  <c r="I38" i="12"/>
  <c r="J38" i="12"/>
  <c r="F21" i="12"/>
  <c r="G21" i="12"/>
  <c r="H21" i="12"/>
  <c r="H29" i="12"/>
  <c r="G29" i="12"/>
  <c r="F29" i="12"/>
  <c r="R1" i="12"/>
  <c r="D6" i="5"/>
  <c r="M15" i="5"/>
  <c r="N15" i="5" s="1"/>
  <c r="M14" i="5"/>
  <c r="M23" i="5"/>
  <c r="M11" i="5" s="1"/>
  <c r="L11" i="5" s="1"/>
  <c r="M10" i="5" l="1"/>
  <c r="N10" i="5" s="1"/>
  <c r="L15" i="5"/>
  <c r="N11" i="5"/>
  <c r="Q38" i="12"/>
  <c r="P38" i="12"/>
  <c r="O38" i="12"/>
  <c r="N38" i="12"/>
  <c r="M38" i="12"/>
  <c r="L38" i="12"/>
  <c r="K38" i="12"/>
  <c r="H36" i="12"/>
  <c r="G36" i="12"/>
  <c r="H35" i="12"/>
  <c r="G35" i="12"/>
  <c r="F35" i="12"/>
  <c r="F36" i="12"/>
  <c r="Q34" i="12"/>
  <c r="P34" i="12"/>
  <c r="O34" i="12"/>
  <c r="N34" i="12"/>
  <c r="M34" i="12"/>
  <c r="L34" i="12"/>
  <c r="K34" i="12"/>
  <c r="J34" i="12"/>
  <c r="H34" i="12"/>
  <c r="G34" i="12"/>
  <c r="F34" i="12"/>
  <c r="H24" i="12"/>
  <c r="G24" i="12"/>
  <c r="F24" i="12"/>
  <c r="H18" i="12"/>
  <c r="G18" i="12"/>
  <c r="F18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Q8" i="12"/>
  <c r="P8" i="12"/>
  <c r="O8" i="12"/>
  <c r="N8" i="12"/>
  <c r="M8" i="12"/>
  <c r="L8" i="12"/>
  <c r="K8" i="12"/>
  <c r="J8" i="12"/>
  <c r="I8" i="12"/>
  <c r="H8" i="12"/>
  <c r="G8" i="12"/>
  <c r="F8" i="12"/>
  <c r="I3" i="12"/>
  <c r="H3" i="12"/>
  <c r="G3" i="12"/>
  <c r="F3" i="12"/>
  <c r="H27" i="12"/>
  <c r="G27" i="12"/>
  <c r="F27" i="12"/>
  <c r="H15" i="12"/>
  <c r="G15" i="12"/>
  <c r="F15" i="12"/>
  <c r="H10" i="12"/>
  <c r="G10" i="12"/>
  <c r="F10" i="12"/>
  <c r="H5" i="12"/>
  <c r="G5" i="12"/>
  <c r="F5" i="12"/>
  <c r="L10" i="5" l="1"/>
  <c r="G33" i="12"/>
  <c r="H33" i="12"/>
  <c r="F33" i="12"/>
  <c r="H10" i="8"/>
  <c r="H9" i="8"/>
  <c r="N3" i="10"/>
  <c r="F40" i="12"/>
  <c r="G40" i="12"/>
  <c r="H40" i="12"/>
  <c r="I40" i="12"/>
  <c r="J40" i="12"/>
  <c r="I1" i="8"/>
  <c r="J1" i="8" s="1"/>
  <c r="I5" i="8"/>
  <c r="I10" i="8"/>
  <c r="I22" i="8"/>
  <c r="J22" i="8"/>
  <c r="K22" i="8"/>
  <c r="I23" i="8"/>
  <c r="J23" i="8"/>
  <c r="K23" i="8"/>
  <c r="I24" i="8"/>
  <c r="I25" i="8"/>
  <c r="J25" i="8"/>
  <c r="K25" i="8"/>
  <c r="I34" i="8"/>
  <c r="I35" i="8"/>
  <c r="I36" i="8"/>
  <c r="I37" i="8"/>
  <c r="H36" i="1"/>
  <c r="G36" i="1"/>
  <c r="F36" i="1"/>
  <c r="N3" i="12" l="1"/>
  <c r="J3" i="12"/>
  <c r="Q3" i="12"/>
  <c r="M3" i="12"/>
  <c r="P3" i="12"/>
  <c r="L3" i="12"/>
  <c r="O3" i="12"/>
  <c r="K3" i="12"/>
  <c r="I9" i="8"/>
  <c r="I3" i="8"/>
  <c r="I31" i="8" s="1"/>
  <c r="I7" i="8"/>
  <c r="I2" i="8"/>
  <c r="I6" i="8"/>
  <c r="I17" i="8" s="1"/>
  <c r="J2" i="8"/>
  <c r="J6" i="8"/>
  <c r="J10" i="8"/>
  <c r="J36" i="8"/>
  <c r="J37" i="8"/>
  <c r="J5" i="8"/>
  <c r="J24" i="8" s="1"/>
  <c r="J9" i="8"/>
  <c r="J35" i="8"/>
  <c r="J3" i="8"/>
  <c r="J7" i="8"/>
  <c r="K1" i="8"/>
  <c r="J4" i="8"/>
  <c r="J8" i="8"/>
  <c r="J34" i="8"/>
  <c r="I19" i="8"/>
  <c r="I8" i="8"/>
  <c r="I4" i="8"/>
  <c r="I29" i="8"/>
  <c r="D82" i="1"/>
  <c r="D77" i="1"/>
  <c r="I41" i="8" l="1"/>
  <c r="I13" i="8"/>
  <c r="I18" i="8"/>
  <c r="I30" i="8"/>
  <c r="J17" i="8"/>
  <c r="J29" i="8"/>
  <c r="K3" i="8"/>
  <c r="K7" i="8"/>
  <c r="K37" i="8"/>
  <c r="L1" i="8"/>
  <c r="K4" i="8"/>
  <c r="K8" i="8"/>
  <c r="K34" i="8"/>
  <c r="K2" i="8"/>
  <c r="K6" i="8"/>
  <c r="K10" i="8"/>
  <c r="K36" i="8"/>
  <c r="K5" i="8"/>
  <c r="K24" i="8" s="1"/>
  <c r="K9" i="8"/>
  <c r="K35" i="8"/>
  <c r="I16" i="8"/>
  <c r="I28" i="8"/>
  <c r="J16" i="8"/>
  <c r="J28" i="8"/>
  <c r="J13" i="8"/>
  <c r="J19" i="8"/>
  <c r="J31" i="8"/>
  <c r="I43" i="8"/>
  <c r="J18" i="8"/>
  <c r="J30" i="8"/>
  <c r="Q9" i="12"/>
  <c r="Q10" i="12" s="1"/>
  <c r="P9" i="12"/>
  <c r="P10" i="12" s="1"/>
  <c r="O9" i="12"/>
  <c r="O10" i="12" s="1"/>
  <c r="N9" i="12"/>
  <c r="N10" i="12" s="1"/>
  <c r="M9" i="12"/>
  <c r="M10" i="12" s="1"/>
  <c r="L9" i="12"/>
  <c r="L10" i="12" s="1"/>
  <c r="K9" i="12"/>
  <c r="K10" i="12" s="1"/>
  <c r="J9" i="12"/>
  <c r="J10" i="12" s="1"/>
  <c r="I9" i="12"/>
  <c r="I10" i="12" s="1"/>
  <c r="J43" i="8" l="1"/>
  <c r="I42" i="8"/>
  <c r="J40" i="8"/>
  <c r="K13" i="8"/>
  <c r="K19" i="8"/>
  <c r="K31" i="8"/>
  <c r="J41" i="8"/>
  <c r="K16" i="8"/>
  <c r="K28" i="8"/>
  <c r="L10" i="8"/>
  <c r="L6" i="8"/>
  <c r="L8" i="8"/>
  <c r="M1" i="8"/>
  <c r="L3" i="8"/>
  <c r="L5" i="8"/>
  <c r="L7" i="8"/>
  <c r="L9" i="8"/>
  <c r="L4" i="8"/>
  <c r="L2" i="8"/>
  <c r="J42" i="8"/>
  <c r="I40" i="8"/>
  <c r="I44" i="8" s="1"/>
  <c r="K17" i="8"/>
  <c r="K29" i="8"/>
  <c r="K18" i="8"/>
  <c r="K30" i="8"/>
  <c r="H8" i="8"/>
  <c r="Q40" i="12"/>
  <c r="P40" i="12"/>
  <c r="O40" i="12"/>
  <c r="N40" i="12"/>
  <c r="M40" i="12"/>
  <c r="L40" i="12"/>
  <c r="K40" i="12"/>
  <c r="H30" i="12"/>
  <c r="H31" i="12" s="1"/>
  <c r="G30" i="12"/>
  <c r="G31" i="12" s="1"/>
  <c r="F30" i="12"/>
  <c r="G19" i="12"/>
  <c r="H26" i="12"/>
  <c r="I26" i="12" s="1"/>
  <c r="G14" i="12"/>
  <c r="G9" i="12"/>
  <c r="F14" i="12"/>
  <c r="G26" i="12"/>
  <c r="F26" i="12"/>
  <c r="G20" i="12"/>
  <c r="F20" i="12"/>
  <c r="F9" i="12"/>
  <c r="G4" i="12"/>
  <c r="F4" i="12"/>
  <c r="M8" i="8" l="1"/>
  <c r="J44" i="8"/>
  <c r="K41" i="8"/>
  <c r="N1" i="8"/>
  <c r="M9" i="8"/>
  <c r="M10" i="8"/>
  <c r="M5" i="8"/>
  <c r="M4" i="8"/>
  <c r="M6" i="8"/>
  <c r="M7" i="8"/>
  <c r="M2" i="8"/>
  <c r="M3" i="8"/>
  <c r="K43" i="8"/>
  <c r="K42" i="8"/>
  <c r="K40" i="8"/>
  <c r="N8" i="8"/>
  <c r="G25" i="12"/>
  <c r="H19" i="12"/>
  <c r="H25" i="12"/>
  <c r="J26" i="12"/>
  <c r="I18" i="12" l="1"/>
  <c r="I29" i="12" s="1"/>
  <c r="I25" i="12"/>
  <c r="I24" i="12"/>
  <c r="K44" i="8"/>
  <c r="O1" i="8"/>
  <c r="N10" i="8"/>
  <c r="N5" i="8"/>
  <c r="N6" i="8"/>
  <c r="N4" i="8"/>
  <c r="N7" i="8"/>
  <c r="N2" i="8"/>
  <c r="N3" i="8"/>
  <c r="N9" i="8"/>
  <c r="K26" i="12"/>
  <c r="F1" i="12"/>
  <c r="J25" i="12" l="1"/>
  <c r="I27" i="12"/>
  <c r="F42" i="12"/>
  <c r="P1" i="8"/>
  <c r="O2" i="8"/>
  <c r="O4" i="8"/>
  <c r="O3" i="8"/>
  <c r="O10" i="8"/>
  <c r="O5" i="8"/>
  <c r="O6" i="8"/>
  <c r="O8" i="8"/>
  <c r="O7" i="8"/>
  <c r="O9" i="8"/>
  <c r="G1" i="12"/>
  <c r="L26" i="12"/>
  <c r="D70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27" i="1"/>
  <c r="D26" i="1"/>
  <c r="D25" i="1"/>
  <c r="D24" i="1"/>
  <c r="D23" i="1"/>
  <c r="D21" i="1"/>
  <c r="D20" i="1"/>
  <c r="D19" i="1"/>
  <c r="B15" i="4"/>
  <c r="M15" i="4"/>
  <c r="L15" i="4"/>
  <c r="K15" i="4"/>
  <c r="J15" i="4"/>
  <c r="I15" i="4"/>
  <c r="H15" i="4"/>
  <c r="G15" i="4"/>
  <c r="F15" i="4"/>
  <c r="D15" i="4"/>
  <c r="C15" i="4"/>
  <c r="A19" i="8"/>
  <c r="A18" i="8"/>
  <c r="A17" i="8"/>
  <c r="A16" i="8"/>
  <c r="K25" i="12" l="1"/>
  <c r="J27" i="12"/>
  <c r="G42" i="12"/>
  <c r="H1" i="12"/>
  <c r="Q1" i="8"/>
  <c r="P5" i="8"/>
  <c r="P3" i="8"/>
  <c r="P7" i="8"/>
  <c r="P10" i="8"/>
  <c r="P8" i="8"/>
  <c r="P2" i="8"/>
  <c r="P6" i="8"/>
  <c r="P4" i="8"/>
  <c r="P9" i="8"/>
  <c r="M26" i="12"/>
  <c r="F89" i="1"/>
  <c r="F5" i="1"/>
  <c r="M9" i="4"/>
  <c r="L9" i="4"/>
  <c r="K9" i="4"/>
  <c r="J9" i="4"/>
  <c r="I9" i="4"/>
  <c r="H9" i="4"/>
  <c r="G9" i="4"/>
  <c r="F9" i="4"/>
  <c r="D9" i="4"/>
  <c r="C9" i="4"/>
  <c r="B9" i="4"/>
  <c r="M29" i="4"/>
  <c r="L29" i="4"/>
  <c r="K29" i="4"/>
  <c r="J29" i="4"/>
  <c r="I29" i="4"/>
  <c r="H29" i="4"/>
  <c r="G29" i="4"/>
  <c r="F29" i="4"/>
  <c r="D29" i="4"/>
  <c r="D30" i="4" s="1"/>
  <c r="C29" i="4"/>
  <c r="C30" i="4" s="1"/>
  <c r="B29" i="4"/>
  <c r="M16" i="4"/>
  <c r="L16" i="4"/>
  <c r="K16" i="4"/>
  <c r="J16" i="4"/>
  <c r="I16" i="4"/>
  <c r="H16" i="4"/>
  <c r="G16" i="4"/>
  <c r="F16" i="4"/>
  <c r="B16" i="4"/>
  <c r="M1" i="4"/>
  <c r="L1" i="4"/>
  <c r="K1" i="4"/>
  <c r="J1" i="4"/>
  <c r="I1" i="4"/>
  <c r="H1" i="4"/>
  <c r="G1" i="4"/>
  <c r="F1" i="4"/>
  <c r="E1" i="4"/>
  <c r="I1" i="1" s="1"/>
  <c r="D1" i="4"/>
  <c r="H1" i="1" s="1"/>
  <c r="C1" i="4"/>
  <c r="G1" i="1" s="1"/>
  <c r="B1" i="4"/>
  <c r="I36" i="1"/>
  <c r="J36" i="1" s="1"/>
  <c r="K36" i="1" s="1"/>
  <c r="L36" i="1" s="1"/>
  <c r="M36" i="1" s="1"/>
  <c r="N36" i="1" s="1"/>
  <c r="O36" i="1"/>
  <c r="L25" i="12" l="1"/>
  <c r="K27" i="12"/>
  <c r="H42" i="12"/>
  <c r="I1" i="12"/>
  <c r="J1" i="12" s="1"/>
  <c r="K1" i="12" s="1"/>
  <c r="L1" i="12" s="1"/>
  <c r="M1" i="12" s="1"/>
  <c r="N1" i="12" s="1"/>
  <c r="O1" i="12" s="1"/>
  <c r="P1" i="12" s="1"/>
  <c r="Q1" i="12" s="1"/>
  <c r="F82" i="1"/>
  <c r="F81" i="1"/>
  <c r="F80" i="1"/>
  <c r="F77" i="1"/>
  <c r="F76" i="1"/>
  <c r="F75" i="1"/>
  <c r="F27" i="1"/>
  <c r="F26" i="1"/>
  <c r="F25" i="1"/>
  <c r="F24" i="1"/>
  <c r="F23" i="1"/>
  <c r="F69" i="1"/>
  <c r="F65" i="1"/>
  <c r="F61" i="1"/>
  <c r="F57" i="1"/>
  <c r="F68" i="1"/>
  <c r="F64" i="1"/>
  <c r="F60" i="1"/>
  <c r="F63" i="1"/>
  <c r="F46" i="1"/>
  <c r="F45" i="1"/>
  <c r="F44" i="1"/>
  <c r="F43" i="1"/>
  <c r="F4" i="1"/>
  <c r="F67" i="1"/>
  <c r="F58" i="1"/>
  <c r="F55" i="1"/>
  <c r="F51" i="1"/>
  <c r="F49" i="1"/>
  <c r="F70" i="1"/>
  <c r="F62" i="1"/>
  <c r="F56" i="1"/>
  <c r="F54" i="1"/>
  <c r="F52" i="1"/>
  <c r="F50" i="1"/>
  <c r="F48" i="1"/>
  <c r="F47" i="1"/>
  <c r="F59" i="1"/>
  <c r="F66" i="1"/>
  <c r="F53" i="1"/>
  <c r="R1" i="8"/>
  <c r="Q8" i="8"/>
  <c r="Q10" i="8"/>
  <c r="Q7" i="8"/>
  <c r="Q3" i="8"/>
  <c r="Q4" i="8"/>
  <c r="Q6" i="8"/>
  <c r="Q17" i="8" s="1"/>
  <c r="Q9" i="8"/>
  <c r="Q2" i="8"/>
  <c r="Q5" i="8"/>
  <c r="F12" i="1"/>
  <c r="F14" i="1"/>
  <c r="F13" i="1"/>
  <c r="F11" i="1"/>
  <c r="F10" i="1"/>
  <c r="L18" i="8"/>
  <c r="O16" i="8"/>
  <c r="L19" i="8"/>
  <c r="P18" i="8"/>
  <c r="O18" i="8"/>
  <c r="L17" i="8"/>
  <c r="P17" i="8"/>
  <c r="L16" i="8"/>
  <c r="M18" i="8"/>
  <c r="Q18" i="8"/>
  <c r="M19" i="8"/>
  <c r="Q19" i="8"/>
  <c r="M17" i="8"/>
  <c r="M16" i="8"/>
  <c r="Q16" i="8"/>
  <c r="P16" i="8"/>
  <c r="O17" i="8"/>
  <c r="P19" i="8"/>
  <c r="N18" i="8"/>
  <c r="N19" i="8"/>
  <c r="N17" i="8"/>
  <c r="N16" i="8"/>
  <c r="O19" i="8"/>
  <c r="N26" i="12"/>
  <c r="G5" i="1"/>
  <c r="G30" i="4"/>
  <c r="K30" i="4"/>
  <c r="H30" i="4"/>
  <c r="L30" i="4"/>
  <c r="I30" i="4"/>
  <c r="M30" i="4"/>
  <c r="B30" i="4"/>
  <c r="F30" i="4"/>
  <c r="J30" i="4"/>
  <c r="D16" i="4"/>
  <c r="C16" i="4"/>
  <c r="P51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P50" i="10"/>
  <c r="P49" i="10"/>
  <c r="P48" i="10"/>
  <c r="P47" i="10"/>
  <c r="P46" i="10"/>
  <c r="P45" i="10"/>
  <c r="P44" i="10"/>
  <c r="P43" i="10"/>
  <c r="P42" i="10"/>
  <c r="P41" i="10"/>
  <c r="P40" i="10"/>
  <c r="N39" i="10"/>
  <c r="C37" i="10"/>
  <c r="D37" i="10"/>
  <c r="E37" i="10"/>
  <c r="F37" i="10"/>
  <c r="G37" i="10"/>
  <c r="H37" i="10"/>
  <c r="I37" i="10"/>
  <c r="J37" i="10"/>
  <c r="K37" i="10"/>
  <c r="L37" i="10"/>
  <c r="M37" i="10"/>
  <c r="P33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P32" i="10"/>
  <c r="P31" i="10"/>
  <c r="P30" i="10"/>
  <c r="P29" i="10"/>
  <c r="P28" i="10"/>
  <c r="P27" i="10"/>
  <c r="P26" i="10"/>
  <c r="P25" i="10"/>
  <c r="P24" i="10"/>
  <c r="P23" i="10"/>
  <c r="P22" i="10"/>
  <c r="N21" i="10"/>
  <c r="C19" i="10"/>
  <c r="D19" i="10"/>
  <c r="E19" i="10"/>
  <c r="F19" i="10"/>
  <c r="G19" i="10"/>
  <c r="H19" i="10"/>
  <c r="I19" i="10"/>
  <c r="J19" i="10"/>
  <c r="K19" i="10"/>
  <c r="L19" i="10"/>
  <c r="M19" i="10"/>
  <c r="P15" i="10"/>
  <c r="A4" i="10"/>
  <c r="A5" i="10"/>
  <c r="A6" i="10"/>
  <c r="A7" i="10"/>
  <c r="A8" i="10"/>
  <c r="A9" i="10"/>
  <c r="A10" i="10"/>
  <c r="A11" i="10"/>
  <c r="A12" i="10"/>
  <c r="A13" i="10"/>
  <c r="A14" i="10"/>
  <c r="A15" i="10"/>
  <c r="P14" i="10"/>
  <c r="P13" i="10"/>
  <c r="P12" i="10"/>
  <c r="P11" i="10"/>
  <c r="P10" i="10"/>
  <c r="P9" i="10"/>
  <c r="P8" i="10"/>
  <c r="P7" i="10"/>
  <c r="P6" i="10"/>
  <c r="P5" i="10"/>
  <c r="P4" i="10"/>
  <c r="C1" i="10"/>
  <c r="D1" i="10"/>
  <c r="E1" i="10"/>
  <c r="F1" i="10"/>
  <c r="G1" i="10"/>
  <c r="H1" i="10"/>
  <c r="I1" i="10"/>
  <c r="J1" i="10"/>
  <c r="K1" i="10"/>
  <c r="L1" i="10"/>
  <c r="M1" i="10"/>
  <c r="L13" i="8"/>
  <c r="M13" i="8"/>
  <c r="N13" i="8"/>
  <c r="O13" i="8"/>
  <c r="P13" i="8"/>
  <c r="Q13" i="8"/>
  <c r="F90" i="1"/>
  <c r="Q1" i="1"/>
  <c r="P1" i="1"/>
  <c r="O1" i="1"/>
  <c r="N1" i="1"/>
  <c r="M1" i="1"/>
  <c r="L1" i="1"/>
  <c r="K1" i="1"/>
  <c r="J1" i="1"/>
  <c r="F1" i="1"/>
  <c r="P36" i="1"/>
  <c r="G33" i="1"/>
  <c r="F42" i="1"/>
  <c r="F21" i="1"/>
  <c r="F39" i="1"/>
  <c r="F9" i="1"/>
  <c r="F33" i="1"/>
  <c r="F22" i="1"/>
  <c r="G41" i="1"/>
  <c r="F20" i="1"/>
  <c r="G9" i="1"/>
  <c r="F37" i="1"/>
  <c r="G37" i="1"/>
  <c r="G35" i="1"/>
  <c r="G34" i="1"/>
  <c r="F40" i="1"/>
  <c r="G22" i="1"/>
  <c r="G42" i="1"/>
  <c r="F34" i="1"/>
  <c r="F32" i="1"/>
  <c r="G32" i="1"/>
  <c r="F38" i="1"/>
  <c r="G19" i="1"/>
  <c r="G39" i="1"/>
  <c r="G40" i="1"/>
  <c r="G21" i="1"/>
  <c r="F41" i="1"/>
  <c r="F19" i="1"/>
  <c r="F35" i="1"/>
  <c r="G20" i="1"/>
  <c r="G38" i="1"/>
  <c r="M25" i="12" l="1"/>
  <c r="L27" i="12"/>
  <c r="G27" i="1"/>
  <c r="G26" i="1"/>
  <c r="G25" i="1"/>
  <c r="G24" i="1"/>
  <c r="G23" i="1"/>
  <c r="G68" i="1"/>
  <c r="G64" i="1"/>
  <c r="G60" i="1"/>
  <c r="G82" i="1"/>
  <c r="G80" i="1"/>
  <c r="G76" i="1"/>
  <c r="G67" i="1"/>
  <c r="G63" i="1"/>
  <c r="G59" i="1"/>
  <c r="G70" i="1"/>
  <c r="G62" i="1"/>
  <c r="G56" i="1"/>
  <c r="G54" i="1"/>
  <c r="G52" i="1"/>
  <c r="G50" i="1"/>
  <c r="G48" i="1"/>
  <c r="G47" i="1"/>
  <c r="G4" i="1"/>
  <c r="G58" i="1"/>
  <c r="G53" i="1"/>
  <c r="G49" i="1"/>
  <c r="G77" i="1"/>
  <c r="G65" i="1"/>
  <c r="G46" i="1"/>
  <c r="G44" i="1"/>
  <c r="G81" i="1"/>
  <c r="G75" i="1"/>
  <c r="G69" i="1"/>
  <c r="G61" i="1"/>
  <c r="G66" i="1"/>
  <c r="G55" i="1"/>
  <c r="G51" i="1"/>
  <c r="G57" i="1"/>
  <c r="G45" i="1"/>
  <c r="G43" i="1"/>
  <c r="S1" i="8"/>
  <c r="R7" i="8"/>
  <c r="R2" i="8"/>
  <c r="R6" i="8"/>
  <c r="R17" i="8" s="1"/>
  <c r="R3" i="8"/>
  <c r="R9" i="8"/>
  <c r="R8" i="8"/>
  <c r="R10" i="8"/>
  <c r="R5" i="8"/>
  <c r="R4" i="8"/>
  <c r="R18" i="8" s="1"/>
  <c r="F78" i="1"/>
  <c r="F83" i="1"/>
  <c r="G14" i="1"/>
  <c r="G13" i="1"/>
  <c r="G12" i="1"/>
  <c r="G11" i="1"/>
  <c r="G10" i="1"/>
  <c r="O26" i="12"/>
  <c r="H5" i="1"/>
  <c r="A23" i="8"/>
  <c r="A24" i="8"/>
  <c r="A29" i="8"/>
  <c r="A35" i="8" s="1"/>
  <c r="A22" i="8"/>
  <c r="A31" i="8"/>
  <c r="A25" i="8"/>
  <c r="A30" i="8"/>
  <c r="A28" i="8"/>
  <c r="G90" i="1"/>
  <c r="F71" i="1"/>
  <c r="F16" i="1"/>
  <c r="B4" i="10" s="1"/>
  <c r="F28" i="1"/>
  <c r="Q36" i="1"/>
  <c r="H19" i="1"/>
  <c r="H20" i="1"/>
  <c r="H37" i="1"/>
  <c r="H33" i="1"/>
  <c r="H41" i="1"/>
  <c r="H34" i="1"/>
  <c r="H39" i="1"/>
  <c r="H21" i="1"/>
  <c r="H42" i="1"/>
  <c r="H38" i="1"/>
  <c r="H9" i="1"/>
  <c r="H32" i="1"/>
  <c r="H35" i="1"/>
  <c r="H40" i="1"/>
  <c r="H22" i="1"/>
  <c r="F72" i="1"/>
  <c r="N25" i="12" l="1"/>
  <c r="M27" i="12"/>
  <c r="B16" i="10"/>
  <c r="H82" i="1"/>
  <c r="H80" i="1"/>
  <c r="H76" i="1"/>
  <c r="H67" i="1"/>
  <c r="H63" i="1"/>
  <c r="H59" i="1"/>
  <c r="H27" i="1"/>
  <c r="H25" i="1"/>
  <c r="H23" i="1"/>
  <c r="H70" i="1"/>
  <c r="H66" i="1"/>
  <c r="H62" i="1"/>
  <c r="H58" i="1"/>
  <c r="H56" i="1"/>
  <c r="H55" i="1"/>
  <c r="H54" i="1"/>
  <c r="H53" i="1"/>
  <c r="H52" i="1"/>
  <c r="H51" i="1"/>
  <c r="H50" i="1"/>
  <c r="H49" i="1"/>
  <c r="H48" i="1"/>
  <c r="H81" i="1"/>
  <c r="H75" i="1"/>
  <c r="H69" i="1"/>
  <c r="H61" i="1"/>
  <c r="H77" i="1"/>
  <c r="H65" i="1"/>
  <c r="H57" i="1"/>
  <c r="H46" i="1"/>
  <c r="H44" i="1"/>
  <c r="H4" i="1"/>
  <c r="H26" i="1"/>
  <c r="H68" i="1"/>
  <c r="H60" i="1"/>
  <c r="H45" i="1"/>
  <c r="H43" i="1"/>
  <c r="H24" i="1"/>
  <c r="H64" i="1"/>
  <c r="H47" i="1"/>
  <c r="R16" i="8"/>
  <c r="R19" i="8"/>
  <c r="R13" i="8"/>
  <c r="T1" i="8"/>
  <c r="S7" i="8"/>
  <c r="S2" i="8"/>
  <c r="S4" i="8"/>
  <c r="S18" i="8" s="1"/>
  <c r="S6" i="8"/>
  <c r="S17" i="8" s="1"/>
  <c r="S3" i="8"/>
  <c r="S9" i="8"/>
  <c r="S10" i="8"/>
  <c r="S5" i="8"/>
  <c r="S8" i="8"/>
  <c r="G83" i="1"/>
  <c r="G78" i="1"/>
  <c r="P28" i="8"/>
  <c r="Q28" i="8"/>
  <c r="N28" i="8"/>
  <c r="R28" i="8"/>
  <c r="O28" i="8"/>
  <c r="L28" i="8"/>
  <c r="M28" i="8"/>
  <c r="Q31" i="8"/>
  <c r="S31" i="8"/>
  <c r="P31" i="8"/>
  <c r="N31" i="8"/>
  <c r="R31" i="8"/>
  <c r="L31" i="8"/>
  <c r="M31" i="8"/>
  <c r="O31" i="8"/>
  <c r="S30" i="8"/>
  <c r="O30" i="8"/>
  <c r="M30" i="8"/>
  <c r="R30" i="8"/>
  <c r="N30" i="8"/>
  <c r="P30" i="8"/>
  <c r="L30" i="8"/>
  <c r="Q30" i="8"/>
  <c r="T35" i="8"/>
  <c r="P35" i="8"/>
  <c r="L35" i="8"/>
  <c r="M35" i="8"/>
  <c r="S35" i="8"/>
  <c r="O35" i="8"/>
  <c r="R35" i="8"/>
  <c r="N35" i="8"/>
  <c r="Q35" i="8"/>
  <c r="L29" i="8"/>
  <c r="M29" i="8"/>
  <c r="O29" i="8"/>
  <c r="R29" i="8"/>
  <c r="S29" i="8"/>
  <c r="N29" i="8"/>
  <c r="P29" i="8"/>
  <c r="Q29" i="8"/>
  <c r="H13" i="1"/>
  <c r="H11" i="1"/>
  <c r="H10" i="1"/>
  <c r="H14" i="1"/>
  <c r="H12" i="1"/>
  <c r="P26" i="12"/>
  <c r="I5" i="1"/>
  <c r="Q22" i="8"/>
  <c r="M22" i="8"/>
  <c r="T22" i="8"/>
  <c r="P22" i="8"/>
  <c r="S22" i="8"/>
  <c r="O22" i="8"/>
  <c r="N22" i="8"/>
  <c r="L22" i="8"/>
  <c r="R22" i="8"/>
  <c r="Q24" i="8"/>
  <c r="M24" i="8"/>
  <c r="P24" i="8"/>
  <c r="L24" i="8"/>
  <c r="S24" i="8"/>
  <c r="O24" i="8"/>
  <c r="R24" i="8"/>
  <c r="N24" i="8"/>
  <c r="Q25" i="8"/>
  <c r="M25" i="8"/>
  <c r="T25" i="8"/>
  <c r="P25" i="8"/>
  <c r="L25" i="8"/>
  <c r="S25" i="8"/>
  <c r="O25" i="8"/>
  <c r="R25" i="8"/>
  <c r="N25" i="8"/>
  <c r="Q23" i="8"/>
  <c r="M23" i="8"/>
  <c r="T23" i="8"/>
  <c r="P23" i="8"/>
  <c r="L23" i="8"/>
  <c r="S23" i="8"/>
  <c r="O23" i="8"/>
  <c r="R23" i="8"/>
  <c r="N23" i="8"/>
  <c r="H90" i="1"/>
  <c r="A36" i="8"/>
  <c r="A37" i="8"/>
  <c r="A34" i="8"/>
  <c r="A41" i="8"/>
  <c r="G28" i="1"/>
  <c r="G16" i="1"/>
  <c r="C5" i="10" s="1"/>
  <c r="G71" i="1"/>
  <c r="O4" i="10"/>
  <c r="N4" i="10" s="1"/>
  <c r="F93" i="1"/>
  <c r="F29" i="1"/>
  <c r="F73" i="1" s="1"/>
  <c r="F84" i="1" s="1"/>
  <c r="B52" i="10" s="1"/>
  <c r="F17" i="1"/>
  <c r="G72" i="1"/>
  <c r="O25" i="12" l="1"/>
  <c r="N27" i="12"/>
  <c r="B40" i="10"/>
  <c r="B22" i="10"/>
  <c r="O22" i="10" s="1"/>
  <c r="O5" i="10"/>
  <c r="N5" i="10" s="1"/>
  <c r="I82" i="1"/>
  <c r="I81" i="1"/>
  <c r="I80" i="1"/>
  <c r="I77" i="1"/>
  <c r="I76" i="1"/>
  <c r="I75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27" i="1"/>
  <c r="I25" i="1"/>
  <c r="I23" i="1"/>
  <c r="I56" i="1"/>
  <c r="I55" i="1"/>
  <c r="I54" i="1"/>
  <c r="I53" i="1"/>
  <c r="I52" i="1"/>
  <c r="I51" i="1"/>
  <c r="I50" i="1"/>
  <c r="I49" i="1"/>
  <c r="I48" i="1"/>
  <c r="I47" i="1"/>
  <c r="I26" i="1"/>
  <c r="I46" i="1"/>
  <c r="I45" i="1"/>
  <c r="I44" i="1"/>
  <c r="I43" i="1"/>
  <c r="I24" i="1"/>
  <c r="I4" i="1"/>
  <c r="S13" i="8"/>
  <c r="S28" i="8"/>
  <c r="S19" i="8"/>
  <c r="T5" i="8"/>
  <c r="T24" i="8" s="1"/>
  <c r="T3" i="8"/>
  <c r="T10" i="8"/>
  <c r="T8" i="8"/>
  <c r="T6" i="8"/>
  <c r="T2" i="8"/>
  <c r="T4" i="8"/>
  <c r="T9" i="8"/>
  <c r="T7" i="8"/>
  <c r="S16" i="8"/>
  <c r="Q41" i="8"/>
  <c r="H78" i="1"/>
  <c r="H83" i="1"/>
  <c r="T36" i="8"/>
  <c r="P36" i="8"/>
  <c r="P42" i="8" s="1"/>
  <c r="L36" i="8"/>
  <c r="L42" i="8" s="1"/>
  <c r="M36" i="8"/>
  <c r="M42" i="8" s="1"/>
  <c r="S36" i="8"/>
  <c r="S42" i="8" s="1"/>
  <c r="O36" i="8"/>
  <c r="O42" i="8" s="1"/>
  <c r="R36" i="8"/>
  <c r="N36" i="8"/>
  <c r="N42" i="8" s="1"/>
  <c r="Q36" i="8"/>
  <c r="Q42" i="8" s="1"/>
  <c r="T34" i="8"/>
  <c r="P34" i="8"/>
  <c r="L34" i="8"/>
  <c r="L40" i="8" s="1"/>
  <c r="S34" i="8"/>
  <c r="M34" i="8"/>
  <c r="M40" i="8" s="1"/>
  <c r="O34" i="8"/>
  <c r="R34" i="8"/>
  <c r="N34" i="8"/>
  <c r="N40" i="8" s="1"/>
  <c r="Q34" i="8"/>
  <c r="T37" i="8"/>
  <c r="P37" i="8"/>
  <c r="P43" i="8" s="1"/>
  <c r="L37" i="8"/>
  <c r="L43" i="8" s="1"/>
  <c r="M37" i="8"/>
  <c r="M43" i="8" s="1"/>
  <c r="S37" i="8"/>
  <c r="S43" i="8" s="1"/>
  <c r="O37" i="8"/>
  <c r="O43" i="8" s="1"/>
  <c r="R37" i="8"/>
  <c r="R43" i="8" s="1"/>
  <c r="N37" i="8"/>
  <c r="N43" i="8" s="1"/>
  <c r="Q37" i="8"/>
  <c r="Q43" i="8" s="1"/>
  <c r="I90" i="1"/>
  <c r="C16" i="10"/>
  <c r="I13" i="1"/>
  <c r="I11" i="1"/>
  <c r="I10" i="1"/>
  <c r="I14" i="1"/>
  <c r="I12" i="1"/>
  <c r="Q26" i="12"/>
  <c r="J5" i="1"/>
  <c r="P41" i="8"/>
  <c r="L41" i="8"/>
  <c r="M41" i="8"/>
  <c r="H71" i="1"/>
  <c r="H16" i="1"/>
  <c r="O41" i="8"/>
  <c r="H28" i="1"/>
  <c r="R41" i="8"/>
  <c r="S41" i="8"/>
  <c r="N41" i="8"/>
  <c r="G93" i="1"/>
  <c r="C23" i="10" s="1"/>
  <c r="G29" i="1"/>
  <c r="A43" i="8"/>
  <c r="A42" i="8"/>
  <c r="O40" i="8"/>
  <c r="A40" i="8"/>
  <c r="Q4" i="10"/>
  <c r="F91" i="1"/>
  <c r="B34" i="10"/>
  <c r="I35" i="1"/>
  <c r="I38" i="1"/>
  <c r="I20" i="1"/>
  <c r="I37" i="1"/>
  <c r="I33" i="1"/>
  <c r="I21" i="1"/>
  <c r="I19" i="1"/>
  <c r="I42" i="1"/>
  <c r="I39" i="1"/>
  <c r="I34" i="1"/>
  <c r="I41" i="1"/>
  <c r="I32" i="1"/>
  <c r="I40" i="1"/>
  <c r="H72" i="1"/>
  <c r="G17" i="1"/>
  <c r="F30" i="1"/>
  <c r="D17" i="10" l="1"/>
  <c r="P25" i="12"/>
  <c r="O27" i="12"/>
  <c r="D6" i="10"/>
  <c r="O6" i="10" s="1"/>
  <c r="N22" i="10"/>
  <c r="Q22" i="10"/>
  <c r="D16" i="10"/>
  <c r="J82" i="1"/>
  <c r="J81" i="1"/>
  <c r="J80" i="1"/>
  <c r="J77" i="1"/>
  <c r="J76" i="1"/>
  <c r="J75" i="1"/>
  <c r="J27" i="1"/>
  <c r="J26" i="1"/>
  <c r="J25" i="1"/>
  <c r="J24" i="1"/>
  <c r="J23" i="1"/>
  <c r="J70" i="1"/>
  <c r="J66" i="1"/>
  <c r="J62" i="1"/>
  <c r="J58" i="1"/>
  <c r="J69" i="1"/>
  <c r="J65" i="1"/>
  <c r="J61" i="1"/>
  <c r="J57" i="1"/>
  <c r="J68" i="1"/>
  <c r="J60" i="1"/>
  <c r="J46" i="1"/>
  <c r="J45" i="1"/>
  <c r="J44" i="1"/>
  <c r="J43" i="1"/>
  <c r="J4" i="1"/>
  <c r="J63" i="1"/>
  <c r="J56" i="1"/>
  <c r="J52" i="1"/>
  <c r="J50" i="1"/>
  <c r="J67" i="1"/>
  <c r="J59" i="1"/>
  <c r="J55" i="1"/>
  <c r="J53" i="1"/>
  <c r="J51" i="1"/>
  <c r="J49" i="1"/>
  <c r="J64" i="1"/>
  <c r="J47" i="1"/>
  <c r="J54" i="1"/>
  <c r="J48" i="1"/>
  <c r="T16" i="8"/>
  <c r="T28" i="8"/>
  <c r="T18" i="8"/>
  <c r="T42" i="8" s="1"/>
  <c r="T30" i="8"/>
  <c r="T19" i="8"/>
  <c r="T31" i="8"/>
  <c r="T13" i="8"/>
  <c r="T17" i="8"/>
  <c r="T29" i="8"/>
  <c r="I71" i="1"/>
  <c r="M28" i="5" s="1"/>
  <c r="Q40" i="8"/>
  <c r="Q44" i="8" s="1"/>
  <c r="P40" i="8"/>
  <c r="P44" i="8" s="1"/>
  <c r="R42" i="8"/>
  <c r="T40" i="8"/>
  <c r="S40" i="8"/>
  <c r="S44" i="8" s="1"/>
  <c r="R40" i="8"/>
  <c r="I78" i="1"/>
  <c r="D22" i="1"/>
  <c r="I83" i="1"/>
  <c r="G73" i="1"/>
  <c r="G84" i="1" s="1"/>
  <c r="C52" i="10" s="1"/>
  <c r="J90" i="1"/>
  <c r="M44" i="8"/>
  <c r="D40" i="1"/>
  <c r="J13" i="1"/>
  <c r="J11" i="1"/>
  <c r="J14" i="1"/>
  <c r="J12" i="1"/>
  <c r="J10" i="1"/>
  <c r="L44" i="8"/>
  <c r="O44" i="8"/>
  <c r="N44" i="8"/>
  <c r="K5" i="1"/>
  <c r="H29" i="1"/>
  <c r="H93" i="1"/>
  <c r="D35" i="10" s="1"/>
  <c r="O40" i="10"/>
  <c r="Q5" i="10"/>
  <c r="R5" i="10"/>
  <c r="J41" i="1"/>
  <c r="J20" i="1"/>
  <c r="J38" i="1"/>
  <c r="J35" i="1"/>
  <c r="J32" i="1"/>
  <c r="J34" i="1"/>
  <c r="J37" i="1"/>
  <c r="J40" i="1"/>
  <c r="J33" i="1"/>
  <c r="J21" i="1"/>
  <c r="K41" i="1"/>
  <c r="K34" i="1"/>
  <c r="J19" i="1"/>
  <c r="J39" i="1"/>
  <c r="J42" i="1"/>
  <c r="H17" i="1"/>
  <c r="G30" i="1"/>
  <c r="F85" i="1"/>
  <c r="Q25" i="12" l="1"/>
  <c r="Q27" i="12" s="1"/>
  <c r="P27" i="12"/>
  <c r="D24" i="10"/>
  <c r="G91" i="1"/>
  <c r="C41" i="10"/>
  <c r="K27" i="1"/>
  <c r="K26" i="1"/>
  <c r="K25" i="1"/>
  <c r="K24" i="1"/>
  <c r="K23" i="1"/>
  <c r="K69" i="1"/>
  <c r="K65" i="1"/>
  <c r="K61" i="1"/>
  <c r="K57" i="1"/>
  <c r="K81" i="1"/>
  <c r="K77" i="1"/>
  <c r="K75" i="1"/>
  <c r="K68" i="1"/>
  <c r="K64" i="1"/>
  <c r="K60" i="1"/>
  <c r="K67" i="1"/>
  <c r="K59" i="1"/>
  <c r="K55" i="1"/>
  <c r="K53" i="1"/>
  <c r="K51" i="1"/>
  <c r="K49" i="1"/>
  <c r="K4" i="1"/>
  <c r="K63" i="1"/>
  <c r="K54" i="1"/>
  <c r="K50" i="1"/>
  <c r="K70" i="1"/>
  <c r="K45" i="1"/>
  <c r="K43" i="1"/>
  <c r="K82" i="1"/>
  <c r="K76" i="1"/>
  <c r="K66" i="1"/>
  <c r="K58" i="1"/>
  <c r="K47" i="1"/>
  <c r="K56" i="1"/>
  <c r="K52" i="1"/>
  <c r="K48" i="1"/>
  <c r="K80" i="1"/>
  <c r="K62" i="1"/>
  <c r="K46" i="1"/>
  <c r="K44" i="1"/>
  <c r="J71" i="1"/>
  <c r="T43" i="8"/>
  <c r="T41" i="8"/>
  <c r="T44" i="8" s="1"/>
  <c r="R44" i="8"/>
  <c r="J78" i="1"/>
  <c r="J83" i="1"/>
  <c r="H73" i="1"/>
  <c r="H84" i="1" s="1"/>
  <c r="K14" i="1"/>
  <c r="K13" i="1"/>
  <c r="K12" i="1"/>
  <c r="K11" i="1"/>
  <c r="K10" i="1"/>
  <c r="K90" i="1"/>
  <c r="L5" i="1"/>
  <c r="D34" i="10"/>
  <c r="R6" i="10"/>
  <c r="N40" i="10"/>
  <c r="Q40" i="10"/>
  <c r="C34" i="10"/>
  <c r="O23" i="10"/>
  <c r="R23" i="10" s="1"/>
  <c r="Q6" i="10"/>
  <c r="K35" i="1"/>
  <c r="K32" i="1"/>
  <c r="K19" i="1"/>
  <c r="K40" i="1"/>
  <c r="K38" i="1"/>
  <c r="K42" i="1"/>
  <c r="K33" i="1"/>
  <c r="K20" i="1"/>
  <c r="K21" i="1"/>
  <c r="K37" i="1"/>
  <c r="K39" i="1"/>
  <c r="L41" i="1"/>
  <c r="G85" i="1"/>
  <c r="H30" i="1"/>
  <c r="H85" i="1"/>
  <c r="D52" i="10" l="1"/>
  <c r="D53" i="10"/>
  <c r="D42" i="10"/>
  <c r="K71" i="1"/>
  <c r="L81" i="1"/>
  <c r="L77" i="1"/>
  <c r="L75" i="1"/>
  <c r="L68" i="1"/>
  <c r="L64" i="1"/>
  <c r="L60" i="1"/>
  <c r="L26" i="1"/>
  <c r="L24" i="1"/>
  <c r="L67" i="1"/>
  <c r="L63" i="1"/>
  <c r="L59" i="1"/>
  <c r="L56" i="1"/>
  <c r="L55" i="1"/>
  <c r="L54" i="1"/>
  <c r="L53" i="1"/>
  <c r="L52" i="1"/>
  <c r="L51" i="1"/>
  <c r="L50" i="1"/>
  <c r="L49" i="1"/>
  <c r="L48" i="1"/>
  <c r="L82" i="1"/>
  <c r="L76" i="1"/>
  <c r="L66" i="1"/>
  <c r="L58" i="1"/>
  <c r="L47" i="1"/>
  <c r="L45" i="1"/>
  <c r="L43" i="1"/>
  <c r="L25" i="1"/>
  <c r="L61" i="1"/>
  <c r="L27" i="1"/>
  <c r="L23" i="1"/>
  <c r="L65" i="1"/>
  <c r="L57" i="1"/>
  <c r="L80" i="1"/>
  <c r="L70" i="1"/>
  <c r="L62" i="1"/>
  <c r="L46" i="1"/>
  <c r="L44" i="1"/>
  <c r="L69" i="1"/>
  <c r="L4" i="1"/>
  <c r="K83" i="1"/>
  <c r="H91" i="1"/>
  <c r="K78" i="1"/>
  <c r="M5" i="1"/>
  <c r="L90" i="1"/>
  <c r="L11" i="1"/>
  <c r="L14" i="1"/>
  <c r="L12" i="1"/>
  <c r="L10" i="1"/>
  <c r="L13" i="1"/>
  <c r="N23" i="10"/>
  <c r="R24" i="10"/>
  <c r="O41" i="10"/>
  <c r="Q41" i="10" s="1"/>
  <c r="O24" i="10"/>
  <c r="Q23" i="10"/>
  <c r="L33" i="1"/>
  <c r="L19" i="1"/>
  <c r="L40" i="1"/>
  <c r="L42" i="1"/>
  <c r="L20" i="1"/>
  <c r="L38" i="1"/>
  <c r="L32" i="1"/>
  <c r="L35" i="1"/>
  <c r="L39" i="1"/>
  <c r="L34" i="1"/>
  <c r="M33" i="1"/>
  <c r="L21" i="1"/>
  <c r="L37" i="1"/>
  <c r="M10" i="1" l="1"/>
  <c r="M82" i="1"/>
  <c r="M81" i="1"/>
  <c r="M80" i="1"/>
  <c r="M77" i="1"/>
  <c r="M76" i="1"/>
  <c r="M75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26" i="1"/>
  <c r="M24" i="1"/>
  <c r="M56" i="1"/>
  <c r="M55" i="1"/>
  <c r="M54" i="1"/>
  <c r="M53" i="1"/>
  <c r="M52" i="1"/>
  <c r="M51" i="1"/>
  <c r="M50" i="1"/>
  <c r="M49" i="1"/>
  <c r="M48" i="1"/>
  <c r="M47" i="1"/>
  <c r="M27" i="1"/>
  <c r="M23" i="1"/>
  <c r="M25" i="1"/>
  <c r="M4" i="1"/>
  <c r="M46" i="1"/>
  <c r="M45" i="1"/>
  <c r="M44" i="1"/>
  <c r="M43" i="1"/>
  <c r="L71" i="1"/>
  <c r="M90" i="1"/>
  <c r="L78" i="1"/>
  <c r="L83" i="1"/>
  <c r="N5" i="1"/>
  <c r="M11" i="1"/>
  <c r="M14" i="1"/>
  <c r="M12" i="1"/>
  <c r="M13" i="1"/>
  <c r="N90" i="1"/>
  <c r="R41" i="10"/>
  <c r="N41" i="10"/>
  <c r="O42" i="10"/>
  <c r="Q24" i="10"/>
  <c r="M34" i="1"/>
  <c r="M38" i="1"/>
  <c r="M35" i="1"/>
  <c r="M21" i="1"/>
  <c r="M19" i="1"/>
  <c r="M42" i="1"/>
  <c r="M20" i="1"/>
  <c r="M37" i="1"/>
  <c r="M32" i="1"/>
  <c r="N32" i="1" s="1"/>
  <c r="M39" i="1"/>
  <c r="M40" i="1"/>
  <c r="M41" i="1"/>
  <c r="M71" i="1" l="1"/>
  <c r="N13" i="1"/>
  <c r="N82" i="1"/>
  <c r="N81" i="1"/>
  <c r="N80" i="1"/>
  <c r="N77" i="1"/>
  <c r="N76" i="1"/>
  <c r="N75" i="1"/>
  <c r="N27" i="1"/>
  <c r="N26" i="1"/>
  <c r="N25" i="1"/>
  <c r="N24" i="1"/>
  <c r="N23" i="1"/>
  <c r="N67" i="1"/>
  <c r="N63" i="1"/>
  <c r="N59" i="1"/>
  <c r="N70" i="1"/>
  <c r="N66" i="1"/>
  <c r="N62" i="1"/>
  <c r="N58" i="1"/>
  <c r="N65" i="1"/>
  <c r="N57" i="1"/>
  <c r="N46" i="1"/>
  <c r="N45" i="1"/>
  <c r="N44" i="1"/>
  <c r="N43" i="1"/>
  <c r="N61" i="1"/>
  <c r="N68" i="1"/>
  <c r="N53" i="1"/>
  <c r="N47" i="1"/>
  <c r="N64" i="1"/>
  <c r="N56" i="1"/>
  <c r="N54" i="1"/>
  <c r="N52" i="1"/>
  <c r="N50" i="1"/>
  <c r="N48" i="1"/>
  <c r="N4" i="1"/>
  <c r="N69" i="1"/>
  <c r="N60" i="1"/>
  <c r="N55" i="1"/>
  <c r="N51" i="1"/>
  <c r="N49" i="1"/>
  <c r="O5" i="1"/>
  <c r="O13" i="1" s="1"/>
  <c r="N14" i="1"/>
  <c r="N11" i="1"/>
  <c r="N10" i="1"/>
  <c r="N12" i="1"/>
  <c r="M83" i="1"/>
  <c r="M78" i="1"/>
  <c r="O11" i="1"/>
  <c r="R42" i="10"/>
  <c r="Q42" i="10"/>
  <c r="N40" i="1"/>
  <c r="N39" i="1"/>
  <c r="N33" i="1"/>
  <c r="N35" i="1"/>
  <c r="N19" i="1"/>
  <c r="N38" i="1"/>
  <c r="N34" i="1"/>
  <c r="N21" i="1"/>
  <c r="N41" i="1"/>
  <c r="N20" i="1"/>
  <c r="N42" i="1"/>
  <c r="N37" i="1"/>
  <c r="O90" i="1" l="1"/>
  <c r="O12" i="1"/>
  <c r="P5" i="1"/>
  <c r="O27" i="1"/>
  <c r="O26" i="1"/>
  <c r="O25" i="1"/>
  <c r="O24" i="1"/>
  <c r="O23" i="1"/>
  <c r="O70" i="1"/>
  <c r="O66" i="1"/>
  <c r="O62" i="1"/>
  <c r="O58" i="1"/>
  <c r="O82" i="1"/>
  <c r="O80" i="1"/>
  <c r="O76" i="1"/>
  <c r="O69" i="1"/>
  <c r="O65" i="1"/>
  <c r="O61" i="1"/>
  <c r="O57" i="1"/>
  <c r="O64" i="1"/>
  <c r="O56" i="1"/>
  <c r="O54" i="1"/>
  <c r="O52" i="1"/>
  <c r="O50" i="1"/>
  <c r="O48" i="1"/>
  <c r="O4" i="1"/>
  <c r="O68" i="1"/>
  <c r="O55" i="1"/>
  <c r="O51" i="1"/>
  <c r="O47" i="1"/>
  <c r="O81" i="1"/>
  <c r="O59" i="1"/>
  <c r="O46" i="1"/>
  <c r="O44" i="1"/>
  <c r="O77" i="1"/>
  <c r="O63" i="1"/>
  <c r="O60" i="1"/>
  <c r="O53" i="1"/>
  <c r="O49" i="1"/>
  <c r="O75" i="1"/>
  <c r="O67" i="1"/>
  <c r="O45" i="1"/>
  <c r="O43" i="1"/>
  <c r="O10" i="1"/>
  <c r="O14" i="1"/>
  <c r="N71" i="1"/>
  <c r="N78" i="1"/>
  <c r="N83" i="1"/>
  <c r="P14" i="1"/>
  <c r="P12" i="1"/>
  <c r="P13" i="1"/>
  <c r="P11" i="1"/>
  <c r="P10" i="1"/>
  <c r="Q5" i="1"/>
  <c r="P90" i="1"/>
  <c r="O34" i="1"/>
  <c r="O41" i="1"/>
  <c r="O38" i="1"/>
  <c r="O40" i="1"/>
  <c r="O33" i="1"/>
  <c r="O35" i="1"/>
  <c r="O21" i="1"/>
  <c r="O19" i="1"/>
  <c r="O37" i="1"/>
  <c r="O32" i="1"/>
  <c r="O39" i="1"/>
  <c r="O42" i="1"/>
  <c r="P33" i="1"/>
  <c r="O20" i="1"/>
  <c r="O78" i="1" l="1"/>
  <c r="O83" i="1"/>
  <c r="Q82" i="1"/>
  <c r="Q81" i="1"/>
  <c r="Q80" i="1"/>
  <c r="Q77" i="1"/>
  <c r="Q76" i="1"/>
  <c r="Q75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27" i="1"/>
  <c r="Q25" i="1"/>
  <c r="Q23" i="1"/>
  <c r="Q55" i="1"/>
  <c r="Q54" i="1"/>
  <c r="Q53" i="1"/>
  <c r="Q52" i="1"/>
  <c r="Q51" i="1"/>
  <c r="Q50" i="1"/>
  <c r="Q49" i="1"/>
  <c r="Q48" i="1"/>
  <c r="Q47" i="1"/>
  <c r="Q46" i="1"/>
  <c r="Q24" i="1"/>
  <c r="Q45" i="1"/>
  <c r="Q44" i="1"/>
  <c r="Q43" i="1"/>
  <c r="Q26" i="1"/>
  <c r="Q4" i="1"/>
  <c r="O71" i="1"/>
  <c r="P82" i="1"/>
  <c r="P80" i="1"/>
  <c r="P76" i="1"/>
  <c r="P69" i="1"/>
  <c r="P65" i="1"/>
  <c r="P61" i="1"/>
  <c r="P57" i="1"/>
  <c r="P27" i="1"/>
  <c r="P25" i="1"/>
  <c r="P23" i="1"/>
  <c r="P68" i="1"/>
  <c r="P64" i="1"/>
  <c r="P60" i="1"/>
  <c r="P56" i="1"/>
  <c r="P55" i="1"/>
  <c r="P54" i="1"/>
  <c r="P53" i="1"/>
  <c r="P52" i="1"/>
  <c r="P51" i="1"/>
  <c r="P50" i="1"/>
  <c r="P49" i="1"/>
  <c r="P48" i="1"/>
  <c r="P47" i="1"/>
  <c r="P77" i="1"/>
  <c r="P63" i="1"/>
  <c r="P81" i="1"/>
  <c r="P59" i="1"/>
  <c r="P46" i="1"/>
  <c r="P44" i="1"/>
  <c r="P66" i="1"/>
  <c r="P4" i="1"/>
  <c r="P24" i="1"/>
  <c r="P70" i="1"/>
  <c r="P62" i="1"/>
  <c r="P75" i="1"/>
  <c r="P67" i="1"/>
  <c r="P45" i="1"/>
  <c r="P43" i="1"/>
  <c r="P26" i="1"/>
  <c r="P58" i="1"/>
  <c r="Q13" i="1"/>
  <c r="Q11" i="1"/>
  <c r="Q12" i="1"/>
  <c r="Q10" i="1"/>
  <c r="Q14" i="1"/>
  <c r="Q90" i="1"/>
  <c r="P42" i="1"/>
  <c r="P41" i="1"/>
  <c r="P39" i="1"/>
  <c r="P32" i="1"/>
  <c r="Q42" i="1"/>
  <c r="P19" i="1"/>
  <c r="P21" i="1"/>
  <c r="P20" i="1"/>
  <c r="P34" i="1"/>
  <c r="P35" i="1"/>
  <c r="Q41" i="1"/>
  <c r="P40" i="1"/>
  <c r="Q35" i="1"/>
  <c r="P37" i="1"/>
  <c r="P38" i="1"/>
  <c r="Q32" i="1"/>
  <c r="Q33" i="1"/>
  <c r="P83" i="1" l="1"/>
  <c r="P78" i="1"/>
  <c r="P71" i="1"/>
  <c r="Q78" i="1"/>
  <c r="Q83" i="1"/>
  <c r="Q37" i="1"/>
  <c r="Q21" i="1"/>
  <c r="Q40" i="1"/>
  <c r="Q19" i="1"/>
  <c r="Q34" i="1"/>
  <c r="Q39" i="1"/>
  <c r="Q38" i="1"/>
  <c r="Q20" i="1"/>
  <c r="Q71" i="1" l="1"/>
  <c r="N28" i="5" l="1"/>
  <c r="H4" i="12"/>
  <c r="H9" i="12" l="1"/>
  <c r="H14" i="12" l="1"/>
  <c r="J24" i="12" l="1"/>
  <c r="J14" i="12"/>
  <c r="J15" i="12" s="1"/>
  <c r="I15" i="12"/>
  <c r="K14" i="12"/>
  <c r="K15" i="12" s="1"/>
  <c r="L14" i="12" l="1"/>
  <c r="L15" i="12" s="1"/>
  <c r="M14" i="12" l="1"/>
  <c r="M15" i="12" s="1"/>
  <c r="N14" i="12" l="1"/>
  <c r="N15" i="12" s="1"/>
  <c r="O14" i="12" l="1"/>
  <c r="O15" i="12" s="1"/>
  <c r="P14" i="12" l="1"/>
  <c r="P15" i="12" s="1"/>
  <c r="Q14" i="12" l="1"/>
  <c r="Q15" i="12" s="1"/>
  <c r="H20" i="12"/>
  <c r="I20" i="12" s="1"/>
  <c r="I21" i="12" s="1"/>
  <c r="J20" i="12" l="1"/>
  <c r="K20" i="12" l="1"/>
  <c r="I30" i="12"/>
  <c r="I31" i="12" s="1"/>
  <c r="L20" i="12" l="1"/>
  <c r="M20" i="12" l="1"/>
  <c r="N20" i="12" l="1"/>
  <c r="O20" i="12" l="1"/>
  <c r="P20" i="12" l="1"/>
  <c r="Q20" i="12" l="1"/>
  <c r="N14" i="5" l="1"/>
  <c r="L14" i="5"/>
  <c r="N4" i="12" s="1"/>
  <c r="N5" i="12" s="1"/>
  <c r="I4" i="12" l="1"/>
  <c r="I5" i="12" s="1"/>
  <c r="J4" i="12"/>
  <c r="J5" i="12" s="1"/>
  <c r="P4" i="12"/>
  <c r="P5" i="12" s="1"/>
  <c r="M4" i="12"/>
  <c r="M5" i="12" s="1"/>
  <c r="L4" i="12"/>
  <c r="L5" i="12" s="1"/>
  <c r="K4" i="12"/>
  <c r="K5" i="12" s="1"/>
  <c r="Q4" i="12"/>
  <c r="Q5" i="12" s="1"/>
  <c r="O4" i="12"/>
  <c r="O5" i="12" s="1"/>
  <c r="I33" i="12" l="1"/>
  <c r="I35" i="12" s="1"/>
  <c r="I22" i="1"/>
  <c r="I28" i="1" l="1"/>
  <c r="I42" i="12"/>
  <c r="I36" i="12"/>
  <c r="I9" i="1"/>
  <c r="J22" i="1"/>
  <c r="I93" i="1" l="1"/>
  <c r="E25" i="10" s="1"/>
  <c r="O25" i="10" s="1"/>
  <c r="N25" i="10" s="1"/>
  <c r="M25" i="5"/>
  <c r="J28" i="1"/>
  <c r="J93" i="1" s="1"/>
  <c r="F26" i="10" s="1"/>
  <c r="I16" i="1"/>
  <c r="M24" i="5" s="1"/>
  <c r="F35" i="10"/>
  <c r="E35" i="10"/>
  <c r="R25" i="10" s="1"/>
  <c r="K22" i="1"/>
  <c r="J9" i="1"/>
  <c r="Q25" i="10" l="1"/>
  <c r="E24" i="10"/>
  <c r="E17" i="10"/>
  <c r="R7" i="10" s="1"/>
  <c r="M26" i="5"/>
  <c r="M29" i="5" s="1"/>
  <c r="E6" i="10"/>
  <c r="O26" i="10"/>
  <c r="Q26" i="10" s="1"/>
  <c r="J16" i="1"/>
  <c r="K28" i="1"/>
  <c r="K93" i="1" s="1"/>
  <c r="G27" i="10" s="1"/>
  <c r="F24" i="10"/>
  <c r="I29" i="1"/>
  <c r="I73" i="1" s="1"/>
  <c r="I84" i="1" s="1"/>
  <c r="N6" i="5" s="1"/>
  <c r="E7" i="10"/>
  <c r="O7" i="10" s="1"/>
  <c r="R26" i="10"/>
  <c r="K9" i="1"/>
  <c r="L22" i="1"/>
  <c r="M27" i="5" l="1"/>
  <c r="O27" i="10"/>
  <c r="N27" i="10" s="1"/>
  <c r="N26" i="10"/>
  <c r="K16" i="1"/>
  <c r="G6" i="10" s="1"/>
  <c r="F6" i="10"/>
  <c r="F8" i="10"/>
  <c r="O8" i="10" s="1"/>
  <c r="J29" i="1"/>
  <c r="J73" i="1" s="1"/>
  <c r="J84" i="1" s="1"/>
  <c r="N7" i="10"/>
  <c r="Q7" i="10"/>
  <c r="Q27" i="10"/>
  <c r="F17" i="10"/>
  <c r="R8" i="10" s="1"/>
  <c r="E43" i="10"/>
  <c r="O43" i="10" s="1"/>
  <c r="E42" i="10"/>
  <c r="I91" i="1"/>
  <c r="E53" i="10"/>
  <c r="R43" i="10" s="1"/>
  <c r="F53" i="10"/>
  <c r="L28" i="1"/>
  <c r="G35" i="10"/>
  <c r="R27" i="10" s="1"/>
  <c r="G24" i="10"/>
  <c r="M22" i="1"/>
  <c r="L9" i="1"/>
  <c r="M9" i="1" s="1"/>
  <c r="L16" i="1" l="1"/>
  <c r="M16" i="1"/>
  <c r="G17" i="10"/>
  <c r="R9" i="10" s="1"/>
  <c r="G9" i="10"/>
  <c r="O9" i="10" s="1"/>
  <c r="R44" i="10"/>
  <c r="F42" i="10"/>
  <c r="F44" i="10"/>
  <c r="O44" i="10" s="1"/>
  <c r="J91" i="1"/>
  <c r="N8" i="10"/>
  <c r="Q8" i="10"/>
  <c r="K29" i="1"/>
  <c r="K73" i="1" s="1"/>
  <c r="K84" i="1" s="1"/>
  <c r="N43" i="10"/>
  <c r="Q43" i="10"/>
  <c r="H17" i="10"/>
  <c r="I6" i="10"/>
  <c r="M28" i="1"/>
  <c r="L93" i="1"/>
  <c r="H28" i="10" s="1"/>
  <c r="O28" i="10" s="1"/>
  <c r="N22" i="1"/>
  <c r="N9" i="1"/>
  <c r="R10" i="10" l="1"/>
  <c r="N16" i="1"/>
  <c r="J6" i="10" s="1"/>
  <c r="Q44" i="10"/>
  <c r="N44" i="10"/>
  <c r="N9" i="10"/>
  <c r="Q9" i="10"/>
  <c r="G42" i="10"/>
  <c r="G45" i="10"/>
  <c r="O45" i="10" s="1"/>
  <c r="G53" i="10"/>
  <c r="R45" i="10" s="1"/>
  <c r="K91" i="1"/>
  <c r="H6" i="10"/>
  <c r="H10" i="10"/>
  <c r="O10" i="10" s="1"/>
  <c r="L29" i="1"/>
  <c r="L73" i="1" s="1"/>
  <c r="L84" i="1" s="1"/>
  <c r="H46" i="10" s="1"/>
  <c r="N28" i="10"/>
  <c r="Q28" i="10"/>
  <c r="I17" i="10"/>
  <c r="R11" i="10" s="1"/>
  <c r="I11" i="10"/>
  <c r="H35" i="10"/>
  <c r="R28" i="10" s="1"/>
  <c r="H24" i="10"/>
  <c r="N28" i="1"/>
  <c r="M93" i="1"/>
  <c r="I29" i="10" s="1"/>
  <c r="O29" i="10" s="1"/>
  <c r="M29" i="1"/>
  <c r="M73" i="1" s="1"/>
  <c r="M84" i="1" s="1"/>
  <c r="I47" i="10" s="1"/>
  <c r="H42" i="10"/>
  <c r="L91" i="1"/>
  <c r="O9" i="1"/>
  <c r="O22" i="1"/>
  <c r="O11" i="10" l="1"/>
  <c r="Q11" i="10" s="1"/>
  <c r="H53" i="10"/>
  <c r="R46" i="10" s="1"/>
  <c r="O16" i="1"/>
  <c r="N29" i="10"/>
  <c r="Q29" i="10"/>
  <c r="N11" i="10"/>
  <c r="O46" i="10"/>
  <c r="O47" i="10" s="1"/>
  <c r="Q45" i="10"/>
  <c r="N45" i="10"/>
  <c r="N10" i="10"/>
  <c r="Q10" i="10"/>
  <c r="J17" i="10"/>
  <c r="R12" i="10" s="1"/>
  <c r="J12" i="10"/>
  <c r="O12" i="10" s="1"/>
  <c r="K6" i="10"/>
  <c r="O28" i="1"/>
  <c r="N93" i="1"/>
  <c r="J30" i="10" s="1"/>
  <c r="O30" i="10" s="1"/>
  <c r="N29" i="1"/>
  <c r="N73" i="1" s="1"/>
  <c r="N84" i="1" s="1"/>
  <c r="J48" i="10" s="1"/>
  <c r="I53" i="10"/>
  <c r="I42" i="10"/>
  <c r="M91" i="1"/>
  <c r="I35" i="10"/>
  <c r="R29" i="10" s="1"/>
  <c r="I24" i="10"/>
  <c r="P22" i="1"/>
  <c r="P9" i="1"/>
  <c r="R47" i="10" l="1"/>
  <c r="P16" i="1"/>
  <c r="N47" i="10"/>
  <c r="Q47" i="10"/>
  <c r="O48" i="10"/>
  <c r="Q30" i="10"/>
  <c r="N30" i="10"/>
  <c r="Q46" i="10"/>
  <c r="N46" i="10"/>
  <c r="N12" i="10"/>
  <c r="Q12" i="10"/>
  <c r="K17" i="10"/>
  <c r="R13" i="10" s="1"/>
  <c r="K13" i="10"/>
  <c r="O13" i="10" s="1"/>
  <c r="L17" i="10"/>
  <c r="J35" i="10"/>
  <c r="R30" i="10" s="1"/>
  <c r="J24" i="10"/>
  <c r="P28" i="1"/>
  <c r="O93" i="1"/>
  <c r="K31" i="10" s="1"/>
  <c r="O31" i="10" s="1"/>
  <c r="O29" i="1"/>
  <c r="O73" i="1" s="1"/>
  <c r="O84" i="1" s="1"/>
  <c r="K49" i="10" s="1"/>
  <c r="O49" i="10" s="1"/>
  <c r="J42" i="10"/>
  <c r="N91" i="1"/>
  <c r="J53" i="10"/>
  <c r="R48" i="10" s="1"/>
  <c r="Q9" i="1"/>
  <c r="Q22" i="1"/>
  <c r="R14" i="10" l="1"/>
  <c r="Q28" i="1"/>
  <c r="Q93" i="1" s="1"/>
  <c r="M33" i="10" s="1"/>
  <c r="Q16" i="1"/>
  <c r="M6" i="10" s="1"/>
  <c r="N13" i="10"/>
  <c r="Q13" i="10"/>
  <c r="Q48" i="10"/>
  <c r="N48" i="10"/>
  <c r="N49" i="10"/>
  <c r="Q49" i="10"/>
  <c r="N31" i="10"/>
  <c r="Q31" i="10"/>
  <c r="L6" i="10"/>
  <c r="L14" i="10"/>
  <c r="O14" i="10" s="1"/>
  <c r="K53" i="10"/>
  <c r="R49" i="10" s="1"/>
  <c r="O91" i="1"/>
  <c r="K42" i="10"/>
  <c r="K35" i="10"/>
  <c r="R31" i="10" s="1"/>
  <c r="K24" i="10"/>
  <c r="Q29" i="1"/>
  <c r="Q73" i="1" s="1"/>
  <c r="Q84" i="1" s="1"/>
  <c r="M51" i="10" s="1"/>
  <c r="P93" i="1"/>
  <c r="L32" i="10" s="1"/>
  <c r="O32" i="10" s="1"/>
  <c r="P29" i="1"/>
  <c r="P73" i="1" s="1"/>
  <c r="P84" i="1" s="1"/>
  <c r="L50" i="10" s="1"/>
  <c r="O50" i="10" s="1"/>
  <c r="N25" i="5"/>
  <c r="M17" i="10" l="1"/>
  <c r="R15" i="10" s="1"/>
  <c r="N6" i="10"/>
  <c r="O33" i="10"/>
  <c r="Q33" i="10" s="1"/>
  <c r="O51" i="10"/>
  <c r="N51" i="10" s="1"/>
  <c r="N14" i="10"/>
  <c r="Q14" i="10"/>
  <c r="Q50" i="10"/>
  <c r="N50" i="10"/>
  <c r="Q32" i="10"/>
  <c r="N32" i="10"/>
  <c r="N24" i="5"/>
  <c r="N26" i="5" s="1"/>
  <c r="M15" i="10"/>
  <c r="O15" i="10" s="1"/>
  <c r="M35" i="10"/>
  <c r="M24" i="10"/>
  <c r="L42" i="10"/>
  <c r="P91" i="1"/>
  <c r="Q91" i="1" s="1"/>
  <c r="L53" i="10"/>
  <c r="R50" i="10" s="1"/>
  <c r="L24" i="10"/>
  <c r="L35" i="10"/>
  <c r="R32" i="10" s="1"/>
  <c r="M53" i="10"/>
  <c r="M42" i="10"/>
  <c r="Q51" i="10" l="1"/>
  <c r="N33" i="10"/>
  <c r="N29" i="5"/>
  <c r="N27" i="5"/>
  <c r="N15" i="10"/>
  <c r="Q15" i="10"/>
  <c r="N24" i="10"/>
  <c r="R33" i="10"/>
  <c r="N42" i="10"/>
  <c r="R51" i="10"/>
  <c r="N24" i="12"/>
  <c r="M42" i="12"/>
  <c r="M36" i="12"/>
  <c r="O42" i="12"/>
  <c r="O36" i="12"/>
  <c r="M24" i="12"/>
  <c r="M31" i="12"/>
  <c r="K42" i="12"/>
  <c r="K36" i="12"/>
  <c r="Q19" i="12"/>
  <c r="P24" i="12"/>
  <c r="L24" i="12"/>
  <c r="G6" i="5"/>
  <c r="K6" i="5"/>
  <c r="J42" i="12"/>
  <c r="J36" i="12"/>
  <c r="K30" i="12"/>
  <c r="K31" i="12"/>
  <c r="N30" i="12"/>
  <c r="N31" i="12"/>
  <c r="L36" i="12"/>
  <c r="L33" i="12"/>
  <c r="L35" i="12"/>
  <c r="L42" i="12"/>
  <c r="O30" i="12"/>
  <c r="O31" i="12"/>
  <c r="M30" i="12"/>
  <c r="O24" i="12"/>
  <c r="L30" i="12"/>
  <c r="L31" i="12"/>
  <c r="N36" i="12"/>
  <c r="N33" i="12"/>
  <c r="N35" i="12"/>
  <c r="N42" i="12"/>
  <c r="P30" i="12"/>
  <c r="P31" i="12"/>
  <c r="P42" i="12"/>
  <c r="P36" i="12"/>
  <c r="M19" i="12"/>
  <c r="N18" i="12"/>
  <c r="N21" i="12"/>
  <c r="N12" i="5"/>
  <c r="O21" i="12"/>
  <c r="O33" i="12"/>
  <c r="O35" i="12"/>
  <c r="J31" i="12"/>
  <c r="Q29" i="12"/>
  <c r="L29" i="12"/>
  <c r="M29" i="12"/>
  <c r="N29" i="12"/>
  <c r="O29" i="12"/>
  <c r="P29" i="12"/>
  <c r="Q24" i="12"/>
  <c r="K29" i="12"/>
  <c r="J29" i="12"/>
  <c r="K24" i="12"/>
  <c r="J35" i="12"/>
  <c r="Q36" i="12"/>
  <c r="Q42" i="12"/>
  <c r="J30" i="12"/>
  <c r="J18" i="12"/>
  <c r="J21" i="12"/>
  <c r="J33" i="12"/>
  <c r="K19" i="12"/>
  <c r="L18" i="12"/>
  <c r="L21" i="12"/>
  <c r="P21" i="12"/>
  <c r="P33" i="12"/>
  <c r="P35" i="12"/>
  <c r="Q33" i="12"/>
  <c r="Q35" i="12"/>
  <c r="M33" i="12"/>
  <c r="M35" i="12"/>
  <c r="J19" i="12"/>
  <c r="K18" i="12"/>
  <c r="K21" i="12"/>
  <c r="K33" i="12"/>
  <c r="K35" i="12"/>
  <c r="Q21" i="12"/>
  <c r="Q30" i="12"/>
  <c r="Q31" i="12"/>
  <c r="O19" i="12"/>
  <c r="P18" i="12"/>
  <c r="P19" i="12"/>
  <c r="Q18" i="12"/>
  <c r="L19" i="12"/>
  <c r="M18" i="12"/>
  <c r="M21" i="12"/>
  <c r="I19" i="12"/>
  <c r="M12" i="5"/>
  <c r="L12" i="5"/>
  <c r="N19" i="12"/>
  <c r="O18" i="12"/>
</calcChain>
</file>

<file path=xl/comments1.xml><?xml version="1.0" encoding="utf-8"?>
<comments xmlns="http://schemas.openxmlformats.org/spreadsheetml/2006/main">
  <authors>
    <author>Jaakko P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Flightpath Finance: </t>
        </r>
        <r>
          <rPr>
            <sz val="9"/>
            <color indexed="81"/>
            <rFont val="Tahoma"/>
            <family val="2"/>
          </rPr>
          <t xml:space="preserve">Add more rows here. Remember to copy the formulas from the last salary row above.
</t>
        </r>
      </text>
    </comment>
  </commentList>
</comments>
</file>

<file path=xl/sharedStrings.xml><?xml version="1.0" encoding="utf-8"?>
<sst xmlns="http://schemas.openxmlformats.org/spreadsheetml/2006/main" count="345" uniqueCount="175">
  <si>
    <t>Profit and Loss</t>
  </si>
  <si>
    <t>Income</t>
  </si>
  <si>
    <t>Total Income</t>
  </si>
  <si>
    <t>Gross Profit</t>
  </si>
  <si>
    <t>Expenses</t>
  </si>
  <si>
    <t>Net Income</t>
  </si>
  <si>
    <t>PROFIT AND LOSS STATEMENT</t>
  </si>
  <si>
    <t>OPERATING MODEL</t>
  </si>
  <si>
    <t>Company Name</t>
  </si>
  <si>
    <t>Management Report</t>
  </si>
  <si>
    <t>Cost of Sales</t>
  </si>
  <si>
    <t>Total Cost of Sales</t>
  </si>
  <si>
    <t>Name</t>
  </si>
  <si>
    <t>Employee</t>
  </si>
  <si>
    <t>CEO</t>
  </si>
  <si>
    <t>Start Date</t>
  </si>
  <si>
    <t>Salary</t>
  </si>
  <si>
    <t>Total Wages</t>
  </si>
  <si>
    <t>Employer Taxes</t>
  </si>
  <si>
    <t>Status</t>
  </si>
  <si>
    <t>Contractor</t>
  </si>
  <si>
    <t>Employment Capacity</t>
  </si>
  <si>
    <t>Total Payroll Costs</t>
  </si>
  <si>
    <t>Office Expenses</t>
  </si>
  <si>
    <t>Bank Charges</t>
  </si>
  <si>
    <t>Rent</t>
  </si>
  <si>
    <t>Utilities</t>
  </si>
  <si>
    <t>Travel</t>
  </si>
  <si>
    <t>Legal &amp; Professional Services</t>
  </si>
  <si>
    <t>`</t>
  </si>
  <si>
    <t>Starting Cash Balance</t>
  </si>
  <si>
    <t>Investment</t>
  </si>
  <si>
    <t>Simple Cash Balance</t>
  </si>
  <si>
    <t>Cash Balance</t>
  </si>
  <si>
    <t>Revenue</t>
  </si>
  <si>
    <t>Total Expenses</t>
  </si>
  <si>
    <t xml:space="preserve"> </t>
  </si>
  <si>
    <t>CTO</t>
  </si>
  <si>
    <t>Engineer 1</t>
  </si>
  <si>
    <t>Sales 1</t>
  </si>
  <si>
    <t>Engineer 2</t>
  </si>
  <si>
    <t>Support 1</t>
  </si>
  <si>
    <t>Benefits (Yes/No)</t>
  </si>
  <si>
    <t>Yes</t>
  </si>
  <si>
    <t>No</t>
  </si>
  <si>
    <t>Benefits</t>
  </si>
  <si>
    <t>End Date</t>
  </si>
  <si>
    <t>Subscription Fees</t>
  </si>
  <si>
    <t>YTD</t>
  </si>
  <si>
    <t>Forecast</t>
  </si>
  <si>
    <t>Actual</t>
  </si>
  <si>
    <t>Budget</t>
  </si>
  <si>
    <t>Variance</t>
  </si>
  <si>
    <t>New Forecast</t>
  </si>
  <si>
    <t>2017 Budget</t>
  </si>
  <si>
    <t>Actuals</t>
  </si>
  <si>
    <t>Summary</t>
  </si>
  <si>
    <t>Sales</t>
  </si>
  <si>
    <t>Gross Profit Margin</t>
  </si>
  <si>
    <t>Scenario</t>
  </si>
  <si>
    <t>Gross Burn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</si>
  <si>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</si>
  <si>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</si>
  <si>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</si>
  <si>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</si>
  <si>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</si>
  <si>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</si>
  <si>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</si>
  <si>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</si>
  <si>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</si>
  <si>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</si>
  <si>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</si>
  <si>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</si>
  <si>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Historicals Start Date</t>
  </si>
  <si>
    <t>Forecast Start Date</t>
  </si>
  <si>
    <t>Export Check - Net Income</t>
  </si>
  <si>
    <t xml:space="preserve">Export Check - Gross Profit </t>
  </si>
  <si>
    <t>Export Check - Total Income</t>
  </si>
  <si>
    <t>Benefit Amount</t>
  </si>
  <si>
    <t>Contract Labor</t>
  </si>
  <si>
    <t>Controls</t>
  </si>
  <si>
    <t>Investment Date</t>
  </si>
  <si>
    <t>Scenario Names</t>
  </si>
  <si>
    <t>Role</t>
  </si>
  <si>
    <t>Support</t>
  </si>
  <si>
    <t>Engineer</t>
  </si>
  <si>
    <t>Founder</t>
  </si>
  <si>
    <t>Export Check - Total Expenses</t>
  </si>
  <si>
    <t>Employee Benefits - COS</t>
  </si>
  <si>
    <t>Employer Taxes - COS</t>
  </si>
  <si>
    <t>Wages - COS</t>
  </si>
  <si>
    <t>Assumptions</t>
  </si>
  <si>
    <t>Mapping</t>
  </si>
  <si>
    <t>Employee Benefits</t>
  </si>
  <si>
    <t>Wages</t>
  </si>
  <si>
    <t>Total Payroll</t>
  </si>
  <si>
    <t>Input Type</t>
  </si>
  <si>
    <t>Input Types</t>
  </si>
  <si>
    <t>Revenue Model</t>
  </si>
  <si>
    <t>Payroll Model</t>
  </si>
  <si>
    <t>% of Sales</t>
  </si>
  <si>
    <t>Continue Last Month</t>
  </si>
  <si>
    <t>New Customers</t>
  </si>
  <si>
    <t>New Customers Per Month</t>
  </si>
  <si>
    <t>New Customer ARPU</t>
  </si>
  <si>
    <t>New Customer Revenue</t>
  </si>
  <si>
    <t>Expansion</t>
  </si>
  <si>
    <t>Number of Expansions Per Month</t>
  </si>
  <si>
    <t>Expansion ARPU</t>
  </si>
  <si>
    <t>Expansion Revenue</t>
  </si>
  <si>
    <t>Churn</t>
  </si>
  <si>
    <t>Churned Customers per Month</t>
  </si>
  <si>
    <t>Churn %</t>
  </si>
  <si>
    <t>Churn ARPU</t>
  </si>
  <si>
    <t>Churned Revenue</t>
  </si>
  <si>
    <t>Contraction</t>
  </si>
  <si>
    <t>Downgrades</t>
  </si>
  <si>
    <t>Contraction %</t>
  </si>
  <si>
    <t>ARPU</t>
  </si>
  <si>
    <t>Contracted Revenue</t>
  </si>
  <si>
    <t>Total Customers</t>
  </si>
  <si>
    <t>Net MRR Churn</t>
  </si>
  <si>
    <t>Net MRR Churn %</t>
  </si>
  <si>
    <t>Reactivation</t>
  </si>
  <si>
    <t>Net New Monthly Revenue</t>
  </si>
  <si>
    <t>Revenue Forecast</t>
  </si>
  <si>
    <t>Recurring Revenue, Monthly Only</t>
  </si>
  <si>
    <t>Annual Churn</t>
  </si>
  <si>
    <t>Support 2</t>
  </si>
  <si>
    <t>Software &amp; Tools</t>
  </si>
  <si>
    <t>New Customers, Per Month</t>
  </si>
  <si>
    <t>Expansions, Per Month</t>
  </si>
  <si>
    <t>Churn, %</t>
  </si>
  <si>
    <t>Optimistic</t>
  </si>
  <si>
    <t>Fallback</t>
  </si>
  <si>
    <t>Base-Case</t>
  </si>
  <si>
    <t>Average 2017</t>
  </si>
  <si>
    <t>LTV</t>
  </si>
  <si>
    <t>Net Burn</t>
  </si>
  <si>
    <t>Monthly Revenue Forecast</t>
  </si>
  <si>
    <t>2017 Revenue Forecast</t>
  </si>
  <si>
    <t>Monthly Gross Burn Forecast</t>
  </si>
  <si>
    <t>2017 Gross Burn Forecast</t>
  </si>
  <si>
    <t>(Your Logo Here)</t>
  </si>
  <si>
    <t>Paste Here</t>
  </si>
  <si>
    <t>Other Income</t>
  </si>
  <si>
    <t>Other Expenses</t>
  </si>
  <si>
    <t>Total Other Expenses</t>
  </si>
  <si>
    <t>Total Other Income</t>
  </si>
  <si>
    <t>Net Operating Income</t>
  </si>
  <si>
    <t>Sales 2</t>
  </si>
  <si>
    <t>Support 3</t>
  </si>
  <si>
    <t>Contractor Payments</t>
  </si>
  <si>
    <t>Web Hosting</t>
  </si>
  <si>
    <t>Existing Annual Plans, After Churn</t>
  </si>
  <si>
    <t>Existing Monthly Plans</t>
  </si>
  <si>
    <t>Existing Annual Plans</t>
  </si>
  <si>
    <t>ARPU, Monthly Customers</t>
  </si>
  <si>
    <t>date</t>
  </si>
  <si>
    <t>mrr_new</t>
  </si>
  <si>
    <t>mrr_churn</t>
  </si>
  <si>
    <t>mrr_contraction</t>
  </si>
  <si>
    <t>mrr_expansion</t>
  </si>
  <si>
    <t>mrr_reactivation</t>
  </si>
  <si>
    <t>net</t>
  </si>
  <si>
    <t>mrr_new_count</t>
  </si>
  <si>
    <t>mrr_churn_count</t>
  </si>
  <si>
    <t>mrr_reactivation_count</t>
  </si>
  <si>
    <t>mrr_expansion_count</t>
  </si>
  <si>
    <t>mrr_contraction_count</t>
  </si>
  <si>
    <t>Monthly</t>
  </si>
  <si>
    <t>Yearly</t>
  </si>
  <si>
    <t>New Customer 
ARPU</t>
  </si>
  <si>
    <t>Employer Benefits - COS</t>
  </si>
  <si>
    <t>Number of Reactivations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</si>
</sst>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mm\ yyyy"/>
    <numFmt numFmtId="166" formatCode="&quot;$&quot;#,##0"/>
    <numFmt numFmtId="167" formatCode="[$-409]mmm\-yy;@"/>
    <numFmt numFmtId="168" formatCode="_(&quot;$&quot;#,##0_);_(&quot;$&quot;\(#,##0\);_(* &quot;-&quot;_);_(@_)"/>
    <numFmt numFmtId="169" formatCode="&quot;Optimistic&quot;"/>
    <numFmt numFmtId="170" formatCode="&quot;Base-Case&quot;"/>
    <numFmt numFmtId="171" formatCode="&quot;Fallback&quot;"/>
    <numFmt numFmtId="172" formatCode="&quot;(Copy and paste your Income categories here)&quot;"/>
    <numFmt numFmtId="173" formatCode="&quot;(Copy and paste your Cost of Goods Sold categories here)&quot;"/>
    <numFmt numFmtId="174" formatCode="&quot;(Copy and paste your Expense categories here)&quot;"/>
    <numFmt numFmtId="175" formatCode="&quot;(Feel free to add more rows in each section)&quot;"/>
    <numFmt numFmtId="176" formatCode="yyyy"/>
    <numFmt numFmtId="177" formatCode="0%\ &quot;Payroll Tax&quot;"/>
    <numFmt numFmtId="178" formatCode="&quot;Payroll Model&quot;"/>
    <numFmt numFmtId="179" formatCode="0.0%"/>
    <numFmt numFmtId="180" formatCode="&quot;(Copy and paste your Other Income categories here)&quot;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rgb="FF00A2D3"/>
      <name val="Arial"/>
      <family val="2"/>
    </font>
    <font>
      <sz val="14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  <font>
      <sz val="9"/>
      <color rgb="FF00B050"/>
      <name val="Arial"/>
      <family val="2"/>
    </font>
    <font>
      <b/>
      <sz val="11"/>
      <color rgb="FF00A2D3"/>
      <name val="Arial"/>
      <family val="2"/>
    </font>
    <font>
      <sz val="14"/>
      <color rgb="FF00A2D3"/>
      <name val="Arial"/>
      <family val="2"/>
    </font>
    <font>
      <sz val="11"/>
      <color rgb="FF00A2D3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rgb="FF0070C0"/>
      <name val="Arial"/>
      <family val="2"/>
    </font>
    <font>
      <i/>
      <sz val="9"/>
      <color theme="1"/>
      <name val="Arial"/>
      <family val="2"/>
    </font>
    <font>
      <i/>
      <sz val="9"/>
      <color rgb="FF0070C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10"/>
      <color rgb="FF00A2D3"/>
      <name val="Arial"/>
      <family val="2"/>
    </font>
    <font>
      <sz val="9"/>
      <color rgb="FFBE222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A2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AE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00A2D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/>
    <xf numFmtId="164" fontId="6" fillId="0" borderId="2" xfId="0" applyNumberFormat="1" applyFont="1" applyBorder="1"/>
    <xf numFmtId="0" fontId="7" fillId="0" borderId="0" xfId="0" applyFont="1"/>
    <xf numFmtId="0" fontId="9" fillId="0" borderId="0" xfId="0" applyFont="1" applyBorder="1"/>
    <xf numFmtId="49" fontId="10" fillId="0" borderId="1" xfId="0" applyNumberFormat="1" applyFont="1" applyBorder="1" applyAlignment="1">
      <alignment horizontal="center" wrapText="1"/>
    </xf>
    <xf numFmtId="0" fontId="10" fillId="0" borderId="0" xfId="1" applyFont="1" applyAlignment="1"/>
    <xf numFmtId="0" fontId="11" fillId="0" borderId="0" xfId="1" applyFont="1" applyAlignment="1"/>
    <xf numFmtId="0" fontId="11" fillId="0" borderId="0" xfId="1" applyFont="1"/>
    <xf numFmtId="164" fontId="15" fillId="0" borderId="0" xfId="0" applyNumberFormat="1" applyFont="1"/>
    <xf numFmtId="0" fontId="12" fillId="0" borderId="0" xfId="0" applyFont="1"/>
    <xf numFmtId="0" fontId="16" fillId="0" borderId="0" xfId="0" applyFont="1"/>
    <xf numFmtId="6" fontId="12" fillId="0" borderId="0" xfId="0" applyNumberFormat="1" applyFont="1"/>
    <xf numFmtId="0" fontId="12" fillId="0" borderId="0" xfId="0" applyFont="1" applyAlignment="1">
      <alignment horizontal="right"/>
    </xf>
    <xf numFmtId="0" fontId="7" fillId="0" borderId="0" xfId="0" applyFont="1" applyBorder="1"/>
    <xf numFmtId="165" fontId="13" fillId="2" borderId="0" xfId="0" applyNumberFormat="1" applyFont="1" applyFill="1" applyBorder="1" applyAlignment="1">
      <alignment horizontal="center" wrapText="1"/>
    </xf>
    <xf numFmtId="0" fontId="16" fillId="0" borderId="2" xfId="0" applyFont="1" applyBorder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5" fillId="0" borderId="0" xfId="0" applyNumberFormat="1" applyFont="1" applyAlignment="1"/>
    <xf numFmtId="0" fontId="12" fillId="0" borderId="0" xfId="0" applyFont="1" applyAlignment="1"/>
    <xf numFmtId="164" fontId="16" fillId="0" borderId="2" xfId="0" applyNumberFormat="1" applyFont="1" applyBorder="1" applyAlignment="1"/>
    <xf numFmtId="6" fontId="17" fillId="3" borderId="0" xfId="0" applyNumberFormat="1" applyFont="1" applyFill="1" applyBorder="1" applyAlignment="1">
      <alignment horizontal="center"/>
    </xf>
    <xf numFmtId="6" fontId="17" fillId="3" borderId="0" xfId="0" applyNumberFormat="1" applyFont="1" applyFill="1" applyAlignment="1">
      <alignment horizontal="center"/>
    </xf>
    <xf numFmtId="164" fontId="12" fillId="0" borderId="0" xfId="0" applyNumberFormat="1" applyFont="1"/>
    <xf numFmtId="14" fontId="17" fillId="3" borderId="0" xfId="0" applyNumberFormat="1" applyFont="1" applyFill="1" applyBorder="1" applyAlignment="1">
      <alignment horizontal="left"/>
    </xf>
    <xf numFmtId="0" fontId="20" fillId="2" borderId="0" xfId="0" applyFont="1" applyFill="1"/>
    <xf numFmtId="0" fontId="17" fillId="3" borderId="0" xfId="0" applyFont="1" applyFill="1"/>
    <xf numFmtId="0" fontId="21" fillId="0" borderId="0" xfId="0" applyFont="1" applyAlignment="1">
      <alignment horizontal="center"/>
    </xf>
    <xf numFmtId="43" fontId="14" fillId="2" borderId="0" xfId="0" applyNumberFormat="1" applyFont="1" applyFill="1" applyBorder="1" applyAlignment="1">
      <alignment horizontal="center" wrapText="1"/>
    </xf>
    <xf numFmtId="166" fontId="5" fillId="3" borderId="0" xfId="0" applyNumberFormat="1" applyFont="1" applyFill="1"/>
    <xf numFmtId="14" fontId="5" fillId="3" borderId="0" xfId="0" applyNumberFormat="1" applyFont="1" applyFill="1"/>
    <xf numFmtId="49" fontId="13" fillId="2" borderId="0" xfId="0" applyNumberFormat="1" applyFont="1" applyFill="1" applyBorder="1" applyAlignment="1">
      <alignment horizontal="center" wrapText="1"/>
    </xf>
    <xf numFmtId="0" fontId="22" fillId="0" borderId="4" xfId="0" applyFont="1" applyBorder="1"/>
    <xf numFmtId="0" fontId="23" fillId="0" borderId="4" xfId="0" applyFont="1" applyBorder="1"/>
    <xf numFmtId="0" fontId="9" fillId="0" borderId="4" xfId="0" applyFont="1" applyBorder="1"/>
    <xf numFmtId="0" fontId="22" fillId="0" borderId="4" xfId="0" applyFont="1" applyFill="1" applyBorder="1"/>
    <xf numFmtId="0" fontId="24" fillId="0" borderId="4" xfId="0" applyFont="1" applyFill="1" applyBorder="1"/>
    <xf numFmtId="167" fontId="14" fillId="0" borderId="0" xfId="0" applyNumberFormat="1" applyFont="1" applyFill="1" applyBorder="1" applyAlignment="1" applyProtection="1">
      <alignment horizontal="right"/>
      <protection locked="0"/>
    </xf>
    <xf numFmtId="168" fontId="20" fillId="4" borderId="0" xfId="0" applyNumberFormat="1" applyFont="1" applyFill="1" applyBorder="1"/>
    <xf numFmtId="168" fontId="25" fillId="5" borderId="5" xfId="0" applyNumberFormat="1" applyFont="1" applyFill="1" applyBorder="1" applyAlignment="1"/>
    <xf numFmtId="6" fontId="17" fillId="0" borderId="6" xfId="0" applyNumberFormat="1" applyFont="1" applyBorder="1"/>
    <xf numFmtId="168" fontId="25" fillId="5" borderId="0" xfId="0" applyNumberFormat="1" applyFont="1" applyFill="1" applyBorder="1" applyAlignment="1"/>
    <xf numFmtId="168" fontId="25" fillId="5" borderId="0" xfId="0" applyNumberFormat="1" applyFont="1" applyFill="1" applyBorder="1" applyAlignment="1">
      <alignment horizontal="right"/>
    </xf>
    <xf numFmtId="5" fontId="17" fillId="0" borderId="0" xfId="0" applyNumberFormat="1" applyFont="1"/>
    <xf numFmtId="168" fontId="14" fillId="5" borderId="0" xfId="0" applyNumberFormat="1" applyFont="1" applyFill="1" applyBorder="1" applyAlignment="1"/>
    <xf numFmtId="5" fontId="25" fillId="0" borderId="0" xfId="0" applyNumberFormat="1" applyFont="1"/>
    <xf numFmtId="14" fontId="7" fillId="0" borderId="0" xfId="0" applyNumberFormat="1" applyFont="1"/>
    <xf numFmtId="0" fontId="26" fillId="2" borderId="7" xfId="0" applyFont="1" applyFill="1" applyBorder="1"/>
    <xf numFmtId="0" fontId="26" fillId="2" borderId="3" xfId="0" applyFont="1" applyFill="1" applyBorder="1"/>
    <xf numFmtId="169" fontId="17" fillId="3" borderId="0" xfId="0" applyNumberFormat="1" applyFont="1" applyFill="1" applyAlignment="1">
      <alignment horizontal="left"/>
    </xf>
    <xf numFmtId="170" fontId="17" fillId="3" borderId="0" xfId="0" applyNumberFormat="1" applyFont="1" applyFill="1" applyAlignment="1">
      <alignment horizontal="left"/>
    </xf>
    <xf numFmtId="171" fontId="17" fillId="3" borderId="0" xfId="0" applyNumberFormat="1" applyFont="1" applyFill="1" applyAlignment="1">
      <alignment horizontal="left"/>
    </xf>
    <xf numFmtId="6" fontId="17" fillId="0" borderId="0" xfId="0" applyNumberFormat="1" applyFont="1" applyFill="1" applyBorder="1"/>
    <xf numFmtId="5" fontId="17" fillId="0" borderId="6" xfId="0" applyNumberFormat="1" applyFont="1" applyBorder="1"/>
    <xf numFmtId="0" fontId="28" fillId="0" borderId="0" xfId="1" applyFont="1" applyAlignment="1"/>
    <xf numFmtId="0" fontId="10" fillId="0" borderId="0" xfId="1" applyFont="1"/>
    <xf numFmtId="0" fontId="29" fillId="0" borderId="0" xfId="1" applyFont="1"/>
    <xf numFmtId="0" fontId="11" fillId="0" borderId="0" xfId="1" applyFont="1" applyAlignment="1">
      <alignment horizontal="left" indent="1"/>
    </xf>
    <xf numFmtId="37" fontId="10" fillId="0" borderId="2" xfId="1" applyNumberFormat="1" applyFont="1" applyBorder="1"/>
    <xf numFmtId="37" fontId="11" fillId="0" borderId="0" xfId="1" applyNumberFormat="1" applyFont="1" applyBorder="1"/>
    <xf numFmtId="164" fontId="17" fillId="3" borderId="0" xfId="0" applyNumberFormat="1" applyFont="1" applyFill="1" applyAlignment="1">
      <alignment horizontal="right"/>
    </xf>
    <xf numFmtId="43" fontId="25" fillId="0" borderId="0" xfId="0" applyNumberFormat="1" applyFont="1"/>
    <xf numFmtId="164" fontId="25" fillId="0" borderId="0" xfId="0" applyNumberFormat="1" applyFont="1"/>
    <xf numFmtId="0" fontId="25" fillId="0" borderId="0" xfId="0" applyFont="1"/>
    <xf numFmtId="0" fontId="17" fillId="3" borderId="0" xfId="0" applyFont="1" applyFill="1" applyAlignment="1">
      <alignment horizontal="right"/>
    </xf>
    <xf numFmtId="43" fontId="12" fillId="0" borderId="0" xfId="0" applyNumberFormat="1" applyFont="1"/>
    <xf numFmtId="6" fontId="25" fillId="0" borderId="0" xfId="0" applyNumberFormat="1" applyFont="1"/>
    <xf numFmtId="164" fontId="17" fillId="0" borderId="0" xfId="0" applyNumberFormat="1" applyFont="1"/>
    <xf numFmtId="0" fontId="12" fillId="0" borderId="0" xfId="0" applyFont="1" applyAlignment="1">
      <alignment horizontal="left" indent="1"/>
    </xf>
    <xf numFmtId="164" fontId="30" fillId="3" borderId="2" xfId="0" applyNumberFormat="1" applyFont="1" applyFill="1" applyBorder="1" applyAlignment="1">
      <alignment horizontal="right"/>
    </xf>
    <xf numFmtId="43" fontId="14" fillId="0" borderId="2" xfId="0" applyNumberFormat="1" applyFont="1" applyBorder="1"/>
    <xf numFmtId="164" fontId="14" fillId="0" borderId="2" xfId="0" applyNumberFormat="1" applyFont="1" applyBorder="1"/>
    <xf numFmtId="164" fontId="30" fillId="3" borderId="3" xfId="0" applyNumberFormat="1" applyFont="1" applyFill="1" applyBorder="1" applyAlignment="1">
      <alignment horizontal="right"/>
    </xf>
    <xf numFmtId="43" fontId="14" fillId="0" borderId="3" xfId="0" applyNumberFormat="1" applyFont="1" applyBorder="1"/>
    <xf numFmtId="164" fontId="14" fillId="0" borderId="3" xfId="0" applyNumberFormat="1" applyFont="1" applyBorder="1"/>
    <xf numFmtId="0" fontId="16" fillId="0" borderId="3" xfId="0" applyFont="1" applyBorder="1"/>
    <xf numFmtId="0" fontId="12" fillId="0" borderId="0" xfId="0" applyFont="1" applyAlignment="1">
      <alignment horizontal="left" indent="2"/>
    </xf>
    <xf numFmtId="0" fontId="31" fillId="0" borderId="0" xfId="0" applyFont="1"/>
    <xf numFmtId="164" fontId="33" fillId="0" borderId="0" xfId="0" applyNumberFormat="1" applyFont="1"/>
    <xf numFmtId="0" fontId="26" fillId="2" borderId="0" xfId="0" applyFont="1" applyFill="1"/>
    <xf numFmtId="43" fontId="34" fillId="0" borderId="0" xfId="0" applyNumberFormat="1" applyFont="1"/>
    <xf numFmtId="0" fontId="10" fillId="6" borderId="0" xfId="1" applyFont="1" applyFill="1"/>
    <xf numFmtId="0" fontId="35" fillId="0" borderId="0" xfId="0" applyFont="1"/>
    <xf numFmtId="14" fontId="17" fillId="3" borderId="0" xfId="0" applyNumberFormat="1" applyFont="1" applyFill="1" applyBorder="1" applyAlignment="1">
      <alignment horizontal="center"/>
    </xf>
    <xf numFmtId="164" fontId="15" fillId="0" borderId="2" xfId="0" applyNumberFormat="1" applyFont="1" applyBorder="1"/>
    <xf numFmtId="0" fontId="2" fillId="0" borderId="0" xfId="0" applyFont="1" applyBorder="1"/>
    <xf numFmtId="164" fontId="15" fillId="0" borderId="0" xfId="0" applyNumberFormat="1" applyFont="1" applyBorder="1"/>
    <xf numFmtId="176" fontId="22" fillId="0" borderId="4" xfId="0" applyNumberFormat="1" applyFont="1" applyFill="1" applyBorder="1" applyAlignment="1">
      <alignment horizontal="right"/>
    </xf>
    <xf numFmtId="165" fontId="22" fillId="0" borderId="4" xfId="0" applyNumberFormat="1" applyFont="1" applyFill="1" applyBorder="1" applyAlignment="1">
      <alignment horizontal="right"/>
    </xf>
    <xf numFmtId="9" fontId="4" fillId="0" borderId="0" xfId="0" applyNumberFormat="1" applyFont="1"/>
    <xf numFmtId="0" fontId="23" fillId="0" borderId="0" xfId="0" applyFont="1" applyBorder="1"/>
    <xf numFmtId="177" fontId="17" fillId="3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9" xfId="0" applyFont="1" applyBorder="1"/>
    <xf numFmtId="0" fontId="12" fillId="0" borderId="6" xfId="0" applyFont="1" applyBorder="1"/>
    <xf numFmtId="164" fontId="16" fillId="0" borderId="2" xfId="0" applyNumberFormat="1" applyFont="1" applyBorder="1"/>
    <xf numFmtId="178" fontId="17" fillId="3" borderId="0" xfId="0" applyNumberFormat="1" applyFont="1" applyFill="1" applyAlignment="1">
      <alignment horizontal="left"/>
    </xf>
    <xf numFmtId="9" fontId="17" fillId="3" borderId="0" xfId="0" applyNumberFormat="1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36" fillId="0" borderId="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9" fontId="5" fillId="3" borderId="0" xfId="0" applyNumberFormat="1" applyFont="1" applyFill="1" applyAlignment="1">
      <alignment horizontal="center"/>
    </xf>
    <xf numFmtId="0" fontId="36" fillId="0" borderId="4" xfId="0" applyFont="1" applyBorder="1" applyAlignment="1">
      <alignment horizontal="left"/>
    </xf>
    <xf numFmtId="6" fontId="5" fillId="3" borderId="0" xfId="0" applyNumberFormat="1" applyFont="1" applyFill="1" applyAlignment="1">
      <alignment horizontal="center"/>
    </xf>
    <xf numFmtId="6" fontId="7" fillId="0" borderId="0" xfId="0" applyNumberFormat="1" applyFont="1"/>
    <xf numFmtId="9" fontId="7" fillId="0" borderId="0" xfId="0" applyNumberFormat="1" applyFont="1"/>
    <xf numFmtId="0" fontId="22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17" fillId="3" borderId="0" xfId="1" applyFont="1" applyFill="1" applyAlignment="1">
      <alignment horizontal="left"/>
    </xf>
    <xf numFmtId="174" fontId="17" fillId="3" borderId="0" xfId="1" applyNumberFormat="1" applyFont="1" applyFill="1" applyAlignment="1">
      <alignment horizontal="left"/>
    </xf>
    <xf numFmtId="0" fontId="32" fillId="3" borderId="0" xfId="1" applyFont="1" applyFill="1" applyAlignment="1">
      <alignment horizontal="left"/>
    </xf>
    <xf numFmtId="174" fontId="32" fillId="3" borderId="0" xfId="1" applyNumberFormat="1" applyFont="1" applyFill="1" applyAlignment="1">
      <alignment horizontal="left"/>
    </xf>
    <xf numFmtId="175" fontId="32" fillId="3" borderId="0" xfId="1" applyNumberFormat="1" applyFont="1" applyFill="1" applyAlignment="1">
      <alignment horizontal="left"/>
    </xf>
    <xf numFmtId="173" fontId="32" fillId="3" borderId="0" xfId="1" applyNumberFormat="1" applyFont="1" applyFill="1" applyAlignment="1">
      <alignment horizontal="left"/>
    </xf>
    <xf numFmtId="172" fontId="32" fillId="3" borderId="0" xfId="1" applyNumberFormat="1" applyFont="1" applyFill="1" applyAlignment="1">
      <alignment horizontal="left"/>
    </xf>
    <xf numFmtId="0" fontId="16" fillId="0" borderId="0" xfId="0" applyFont="1" applyBorder="1"/>
    <xf numFmtId="0" fontId="31" fillId="0" borderId="0" xfId="0" applyFont="1" applyBorder="1"/>
    <xf numFmtId="43" fontId="34" fillId="0" borderId="0" xfId="0" applyNumberFormat="1" applyFont="1" applyBorder="1"/>
    <xf numFmtId="164" fontId="17" fillId="3" borderId="0" xfId="0" applyNumberFormat="1" applyFont="1" applyFill="1" applyBorder="1" applyAlignment="1">
      <alignment horizontal="right"/>
    </xf>
    <xf numFmtId="164" fontId="33" fillId="0" borderId="0" xfId="0" applyNumberFormat="1" applyFont="1" applyBorder="1"/>
    <xf numFmtId="164" fontId="25" fillId="0" borderId="0" xfId="0" applyNumberFormat="1" applyFont="1" applyBorder="1"/>
    <xf numFmtId="0" fontId="12" fillId="0" borderId="0" xfId="0" applyFont="1" applyBorder="1"/>
    <xf numFmtId="180" fontId="32" fillId="3" borderId="0" xfId="1" applyNumberFormat="1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3" fontId="17" fillId="0" borderId="0" xfId="1" applyNumberFormat="1" applyFont="1" applyFill="1"/>
    <xf numFmtId="3" fontId="17" fillId="3" borderId="0" xfId="1" applyNumberFormat="1" applyFont="1" applyFill="1"/>
    <xf numFmtId="6" fontId="12" fillId="0" borderId="0" xfId="0" applyNumberFormat="1" applyFont="1" applyAlignment="1">
      <alignment horizontal="right"/>
    </xf>
    <xf numFmtId="6" fontId="17" fillId="3" borderId="0" xfId="0" applyNumberFormat="1" applyFont="1" applyFill="1" applyBorder="1" applyAlignment="1">
      <alignment horizontal="right"/>
    </xf>
    <xf numFmtId="6" fontId="17" fillId="0" borderId="0" xfId="0" applyNumberFormat="1" applyFont="1" applyFill="1" applyAlignment="1">
      <alignment horizontal="right"/>
    </xf>
    <xf numFmtId="6" fontId="25" fillId="0" borderId="0" xfId="0" applyNumberFormat="1" applyFont="1" applyBorder="1" applyAlignment="1">
      <alignment horizontal="right"/>
    </xf>
    <xf numFmtId="0" fontId="37" fillId="0" borderId="0" xfId="0" applyFont="1" applyAlignment="1">
      <alignment horizontal="left"/>
    </xf>
    <xf numFmtId="164" fontId="25" fillId="0" borderId="0" xfId="0" applyNumberFormat="1" applyFont="1" applyBorder="1" applyAlignment="1">
      <alignment horizontal="right"/>
    </xf>
    <xf numFmtId="43" fontId="12" fillId="0" borderId="0" xfId="0" applyNumberFormat="1" applyFont="1" applyAlignment="1">
      <alignment horizontal="right"/>
    </xf>
    <xf numFmtId="1" fontId="25" fillId="0" borderId="0" xfId="0" applyNumberFormat="1" applyFont="1" applyFill="1" applyAlignment="1">
      <alignment horizontal="right"/>
    </xf>
    <xf numFmtId="179" fontId="12" fillId="0" borderId="0" xfId="0" applyNumberFormat="1" applyFont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5" fontId="25" fillId="0" borderId="0" xfId="0" applyNumberFormat="1" applyFont="1" applyBorder="1" applyAlignment="1">
      <alignment horizontal="right"/>
    </xf>
    <xf numFmtId="37" fontId="17" fillId="3" borderId="0" xfId="0" applyNumberFormat="1" applyFont="1" applyFill="1" applyBorder="1" applyAlignment="1">
      <alignment horizontal="right"/>
    </xf>
    <xf numFmtId="5" fontId="17" fillId="0" borderId="0" xfId="0" applyNumberFormat="1" applyFont="1" applyFill="1" applyAlignment="1">
      <alignment horizontal="right"/>
    </xf>
    <xf numFmtId="179" fontId="12" fillId="0" borderId="0" xfId="0" applyNumberFormat="1" applyFont="1"/>
    <xf numFmtId="37" fontId="25" fillId="0" borderId="0" xfId="0" applyNumberFormat="1" applyFont="1" applyFill="1" applyAlignment="1">
      <alignment horizontal="right"/>
    </xf>
    <xf numFmtId="1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5" fontId="17" fillId="3" borderId="0" xfId="0" applyNumberFormat="1" applyFont="1" applyFill="1" applyAlignment="1">
      <alignment horizontal="right"/>
    </xf>
    <xf numFmtId="0" fontId="16" fillId="7" borderId="0" xfId="0" applyFont="1" applyFill="1" applyBorder="1"/>
    <xf numFmtId="0" fontId="16" fillId="0" borderId="2" xfId="0" applyFont="1" applyFill="1" applyBorder="1"/>
    <xf numFmtId="6" fontId="30" fillId="0" borderId="2" xfId="0" applyNumberFormat="1" applyFont="1" applyFill="1" applyBorder="1" applyAlignment="1">
      <alignment horizontal="right"/>
    </xf>
    <xf numFmtId="6" fontId="16" fillId="0" borderId="2" xfId="0" applyNumberFormat="1" applyFont="1" applyFill="1" applyBorder="1" applyAlignment="1">
      <alignment horizontal="right"/>
    </xf>
    <xf numFmtId="5" fontId="17" fillId="0" borderId="0" xfId="0" applyNumberFormat="1" applyFont="1" applyFill="1" applyBorder="1" applyAlignment="1">
      <alignment horizontal="right"/>
    </xf>
    <xf numFmtId="6" fontId="16" fillId="7" borderId="0" xfId="0" applyNumberFormat="1" applyFont="1" applyFill="1" applyBorder="1" applyAlignment="1">
      <alignment horizontal="right"/>
    </xf>
    <xf numFmtId="0" fontId="27" fillId="0" borderId="0" xfId="0" applyFont="1"/>
    <xf numFmtId="164" fontId="14" fillId="0" borderId="2" xfId="0" applyNumberFormat="1" applyFont="1" applyFill="1" applyBorder="1"/>
    <xf numFmtId="0" fontId="16" fillId="0" borderId="0" xfId="0" applyFont="1" applyAlignment="1">
      <alignment horizontal="right"/>
    </xf>
    <xf numFmtId="167" fontId="12" fillId="0" borderId="0" xfId="0" applyNumberFormat="1" applyFont="1" applyAlignment="1">
      <alignment horizontal="right"/>
    </xf>
    <xf numFmtId="5" fontId="12" fillId="0" borderId="0" xfId="0" applyNumberFormat="1" applyFont="1"/>
    <xf numFmtId="14" fontId="12" fillId="0" borderId="0" xfId="0" applyNumberFormat="1" applyFont="1"/>
    <xf numFmtId="3" fontId="12" fillId="0" borderId="0" xfId="0" applyNumberFormat="1" applyFont="1"/>
    <xf numFmtId="164" fontId="25" fillId="0" borderId="0" xfId="0" applyNumberFormat="1" applyFont="1" applyFill="1" applyBorder="1"/>
    <xf numFmtId="0" fontId="20" fillId="0" borderId="0" xfId="0" applyFont="1"/>
    <xf numFmtId="0" fontId="12" fillId="0" borderId="0" xfId="0" applyFont="1" applyAlignment="1">
      <alignment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49" fontId="13" fillId="2" borderId="5" xfId="0" applyNumberFormat="1" applyFont="1" applyFill="1" applyBorder="1" applyAlignment="1">
      <alignment horizontal="right" vertical="center" wrapText="1"/>
    </xf>
    <xf numFmtId="0" fontId="27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5" fontId="2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6" fontId="27" fillId="0" borderId="0" xfId="0" applyNumberFormat="1" applyFont="1" applyBorder="1" applyAlignment="1">
      <alignment horizontal="center" vertical="center"/>
    </xf>
    <xf numFmtId="179" fontId="27" fillId="0" borderId="0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9" formatCode="&quot;Optimistic&quot;"/>
    </dxf>
    <dxf>
      <numFmt numFmtId="170" formatCode="&quot;Base-Case&quot;"/>
    </dxf>
    <dxf>
      <numFmt numFmtId="171" formatCode="&quot;Fallback&quot;"/>
    </dxf>
    <dxf>
      <numFmt numFmtId="181" formatCode="0;;;@"/>
    </dxf>
  </dxfs>
  <tableStyles count="0" defaultTableStyle="TableStyleMedium2" defaultPivotStyle="PivotStyleLight16"/>
  <colors>
    <mruColors>
      <color rgb="FF00A2D3"/>
      <color rgb="FF8BC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Actuals'!$B$3:$M$3</c:f>
              <c:numCache>
                <c:formatCode>_("$"#,##0_);_("$"\(#,##0\);_(* "-"_);_(@_)</c:formatCode>
                <c:ptCount val="12"/>
                <c:pt idx="0">
                  <c:v>20000</c:v>
                </c:pt>
                <c:pt idx="1">
                  <c:v>23500</c:v>
                </c:pt>
                <c:pt idx="2">
                  <c:v>27000</c:v>
                </c:pt>
                <c:pt idx="3">
                  <c:v>30500</c:v>
                </c:pt>
                <c:pt idx="4">
                  <c:v>34000</c:v>
                </c:pt>
                <c:pt idx="5">
                  <c:v>37500</c:v>
                </c:pt>
                <c:pt idx="6">
                  <c:v>41000</c:v>
                </c:pt>
                <c:pt idx="7">
                  <c:v>44500</c:v>
                </c:pt>
                <c:pt idx="8">
                  <c:v>48000</c:v>
                </c:pt>
                <c:pt idx="9">
                  <c:v>51500</c:v>
                </c:pt>
                <c:pt idx="10">
                  <c:v>55000</c:v>
                </c:pt>
                <c:pt idx="11">
                  <c:v>58500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Actuals'!$B$16:$M$16</c:f>
              <c:numCache>
                <c:formatCode>"$"#,##0_);[Red]\("$"#,##0\)</c:formatCode>
                <c:ptCount val="12"/>
                <c:pt idx="0">
                  <c:v>15000</c:v>
                </c:pt>
                <c:pt idx="1">
                  <c:v>20000</c:v>
                </c:pt>
                <c:pt idx="2">
                  <c:v>25000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Actuals'!$B$17:$M$17</c:f>
              <c:numCache>
                <c:formatCode>_("$"#,##0_);_("$"\(#,##0\);_(* "-"_);_(@_)</c:formatCode>
                <c:ptCount val="12"/>
                <c:pt idx="2">
                  <c:v>25000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Actuals'!$A$21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Actuals'!$B$21:$M$21</c:f>
              <c:numCache>
                <c:formatCode>_("$"#,##0_);_("$"\(#,##0\);_(* "-"_);_(@_)</c:formatCode>
                <c:ptCount val="12"/>
                <c:pt idx="0">
                  <c:v>25000</c:v>
                </c:pt>
                <c:pt idx="1">
                  <c:v>30000</c:v>
                </c:pt>
                <c:pt idx="2">
                  <c:v>35000</c:v>
                </c:pt>
                <c:pt idx="3">
                  <c:v>40000</c:v>
                </c:pt>
                <c:pt idx="4">
                  <c:v>45000</c:v>
                </c:pt>
                <c:pt idx="5">
                  <c:v>47500</c:v>
                </c:pt>
                <c:pt idx="6">
                  <c:v>50000</c:v>
                </c:pt>
                <c:pt idx="7">
                  <c:v>52500</c:v>
                </c:pt>
                <c:pt idx="8">
                  <c:v>55000</c:v>
                </c:pt>
                <c:pt idx="9">
                  <c:v>57500</c:v>
                </c:pt>
                <c:pt idx="10">
                  <c:v>60000</c:v>
                </c:pt>
                <c:pt idx="11">
                  <c:v>62500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C7-4079-A96A-CBE28BB0D7F6}"/>
            </c:ext>
          </c:extLst>
        </c:ser>
        <c:ser>
          <c:idx val="1"/>
          <c:order val="1"/>
          <c:tx>
            <c:strRef>
              <c:f>'Budget Vs Actuals'!$A$34</c:f>
              <c:strCache>
                <c:ptCount val="1"/>
                <c:pt idx="0">
                  <c:v>Actuals</c:v>
                </c:pt>
              </c:strCache>
            </c:strRef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Actuals'!$B$34:$M$34</c:f>
              <c:numCache>
                <c:formatCode>"$"#,##0_);\("$"#,##0\)</c:formatCode>
                <c:ptCount val="12"/>
                <c:pt idx="0">
                  <c:v>23593.333333333332</c:v>
                </c:pt>
                <c:pt idx="1">
                  <c:v>33676.666666666672</c:v>
                </c:pt>
                <c:pt idx="2">
                  <c:v>43560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C7-4079-A96A-CBE28BB0D7F6}"/>
            </c:ext>
          </c:extLst>
        </c:ser>
        <c:ser>
          <c:idx val="2"/>
          <c:order val="2"/>
          <c:tx>
            <c:strRef>
              <c:f>'Budget Vs Actuals'!$A$35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Actuals'!$B$35:$M$35</c:f>
              <c:numCache>
                <c:formatCode>_("$"#,##0_);_("$"\(#,##0\);_(* "-"_);_(@_)</c:formatCode>
                <c:ptCount val="12"/>
                <c:pt idx="2">
                  <c:v>43560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C7-4079-A96A-CBE28BB0D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  <c:max val="80000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Actuals'!$P$4:$P$15</c:f>
              <c:numCache>
                <c:formatCode>_("$"#,##0_);_("$"\(#,##0\);_(* "-"_);_(@_)</c:formatCode>
                <c:ptCount val="12"/>
                <c:pt idx="0">
                  <c:v>20000</c:v>
                </c:pt>
                <c:pt idx="1">
                  <c:v>43500</c:v>
                </c:pt>
                <c:pt idx="2">
                  <c:v>70500</c:v>
                </c:pt>
                <c:pt idx="3">
                  <c:v>101000</c:v>
                </c:pt>
                <c:pt idx="4">
                  <c:v>135000</c:v>
                </c:pt>
                <c:pt idx="5">
                  <c:v>172500</c:v>
                </c:pt>
                <c:pt idx="6">
                  <c:v>213500</c:v>
                </c:pt>
                <c:pt idx="7">
                  <c:v>258000</c:v>
                </c:pt>
                <c:pt idx="8">
                  <c:v>306000</c:v>
                </c:pt>
                <c:pt idx="9">
                  <c:v>357500</c:v>
                </c:pt>
                <c:pt idx="10">
                  <c:v>412500</c:v>
                </c:pt>
                <c:pt idx="11">
                  <c:v>471000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64-459E-832B-A75DDA2FB323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Actuals'!$O$4:$O$5</c:f>
            </c:numRef>
          </c:val>
          <c:smooth val="1"/>
          <c:extLst>
            <c:ext xmlns:c16="http://schemas.microsoft.com/office/drawing/2014/chart" uri="{C3380CC4-5D6E-409C-BE32-E72D297353CC}">
              <c16:uniqueId val="{00000001-2D64-459E-832B-A75DDA2FB323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Actuals'!$R$4:$R$15</c:f>
              <c:numCache>
                <c:formatCode>_("$"#,##0_);_("$"\(#,##0\);_(* "-"_);_(@_)</c:formatCode>
                <c:ptCount val="12"/>
                <c:pt idx="1">
                  <c:v>35000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D64-459E-832B-A75DDA2F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  <c:max val="700000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Actuals'!$P$22:$P$33</c:f>
              <c:numCache>
                <c:formatCode>_("$"#,##0_);_("$"\(#,##0\);_(* "-"_);_(@_)</c:formatCode>
                <c:ptCount val="12"/>
                <c:pt idx="0">
                  <c:v>25000</c:v>
                </c:pt>
                <c:pt idx="1">
                  <c:v>55000</c:v>
                </c:pt>
                <c:pt idx="2">
                  <c:v>90000</c:v>
                </c:pt>
                <c:pt idx="3">
                  <c:v>130000</c:v>
                </c:pt>
                <c:pt idx="4">
                  <c:v>175000</c:v>
                </c:pt>
                <c:pt idx="5">
                  <c:v>222500</c:v>
                </c:pt>
                <c:pt idx="6">
                  <c:v>272500</c:v>
                </c:pt>
                <c:pt idx="7">
                  <c:v>325000</c:v>
                </c:pt>
                <c:pt idx="8">
                  <c:v>380000</c:v>
                </c:pt>
                <c:pt idx="9">
                  <c:v>437500</c:v>
                </c:pt>
                <c:pt idx="10">
                  <c:v>497500</c:v>
                </c:pt>
                <c:pt idx="11">
                  <c:v>560000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3F-423F-AA03-5D4696B544F6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Actuals'!$O$22:$O$23</c:f>
            </c:numRef>
          </c:val>
          <c:smooth val="1"/>
          <c:extLst>
            <c:ext xmlns:c16="http://schemas.microsoft.com/office/drawing/2014/chart" uri="{C3380CC4-5D6E-409C-BE32-E72D297353CC}">
              <c16:uniqueId val="{00000001-593F-423F-AA03-5D4696B544F6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Actuals'!$R$22:$R$33</c:f>
              <c:numCache>
                <c:formatCode>_("$"#,##0_);_("$"\(#,##0\);_(* "-"_);_(@_)</c:formatCode>
                <c:ptCount val="12"/>
                <c:pt idx="1">
                  <c:v>57270</c:v>
                </c:pt>
                <c:pt idx="2">
                  <c:v>100830</c:v>
                </c:pt>
                <c:pt idx="3">
                  <c:v>100830</c:v>
                </c:pt>
                <c:pt idx="4">
                  <c:v>100830</c:v>
                </c:pt>
                <c:pt idx="5">
                  <c:v>100830</c:v>
                </c:pt>
                <c:pt idx="6">
                  <c:v>100830</c:v>
                </c:pt>
                <c:pt idx="7">
                  <c:v>100830</c:v>
                </c:pt>
                <c:pt idx="8">
                  <c:v>100830</c:v>
                </c:pt>
                <c:pt idx="9">
                  <c:v>100830</c:v>
                </c:pt>
                <c:pt idx="10">
                  <c:v>100830</c:v>
                </c:pt>
                <c:pt idx="11">
                  <c:v>100830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93F-423F-AA03-5D4696B5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  <c:max val="700000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Actuals'!$A$21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Actuals'!$B$21:$M$21</c:f>
              <c:numCache>
                <c:formatCode>_("$"#,##0_);_("$"\(#,##0\);_(* "-"_);_(@_)</c:formatCode>
                <c:ptCount val="12"/>
                <c:pt idx="0">
                  <c:v>25000</c:v>
                </c:pt>
                <c:pt idx="1">
                  <c:v>30000</c:v>
                </c:pt>
                <c:pt idx="2">
                  <c:v>35000</c:v>
                </c:pt>
                <c:pt idx="3">
                  <c:v>40000</c:v>
                </c:pt>
                <c:pt idx="4">
                  <c:v>45000</c:v>
                </c:pt>
                <c:pt idx="5">
                  <c:v>47500</c:v>
                </c:pt>
                <c:pt idx="6">
                  <c:v>50000</c:v>
                </c:pt>
                <c:pt idx="7">
                  <c:v>52500</c:v>
                </c:pt>
                <c:pt idx="8">
                  <c:v>55000</c:v>
                </c:pt>
                <c:pt idx="9">
                  <c:v>57500</c:v>
                </c:pt>
                <c:pt idx="10">
                  <c:v>60000</c:v>
                </c:pt>
                <c:pt idx="11">
                  <c:v>62500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Actuals'!$A$34</c:f>
              <c:strCache>
                <c:ptCount val="1"/>
                <c:pt idx="0">
                  <c:v>Actuals</c:v>
                </c:pt>
              </c:strCache>
            </c:strRef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Actuals'!$B$34:$M$34</c:f>
              <c:numCache>
                <c:formatCode>"$"#,##0_);\("$"#,##0\)</c:formatCode>
                <c:ptCount val="12"/>
                <c:pt idx="0">
                  <c:v>23593.333333333332</c:v>
                </c:pt>
                <c:pt idx="1">
                  <c:v>33676.666666666672</c:v>
                </c:pt>
                <c:pt idx="2">
                  <c:v>43560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Actuals'!$A$35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Actuals'!$B$35:$M$35</c:f>
              <c:numCache>
                <c:formatCode>_("$"#,##0_);_("$"\(#,##0\);_(* "-"_);_(@_)</c:formatCode>
                <c:ptCount val="12"/>
                <c:pt idx="2">
                  <c:v>43560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Actuals'!$A$39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Actuals'!$B$39:$M$39</c:f>
              <c:numCache>
                <c:formatCode>_("$"#,##0_);_("$"\(#,##0\);_(* "-"_);_(@_)</c:formatCode>
                <c:ptCount val="12"/>
                <c:pt idx="0">
                  <c:v>-5000</c:v>
                </c:pt>
                <c:pt idx="1">
                  <c:v>-6500</c:v>
                </c:pt>
                <c:pt idx="2">
                  <c:v>-8000</c:v>
                </c:pt>
                <c:pt idx="3">
                  <c:v>-9500</c:v>
                </c:pt>
                <c:pt idx="4">
                  <c:v>-11000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Actuals'!$A$52</c:f>
              <c:strCache>
                <c:ptCount val="1"/>
                <c:pt idx="0">
                  <c:v>Actuals</c:v>
                </c:pt>
              </c:strCache>
            </c:strRef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Actuals'!$B$52:$M$52</c:f>
              <c:numCache>
                <c:formatCode>"$"#,##0_);\("$"#,##0\)</c:formatCode>
                <c:ptCount val="12"/>
                <c:pt idx="0">
                  <c:v>-8593.3333333333321</c:v>
                </c:pt>
                <c:pt idx="1">
                  <c:v>-13676.666666666668</c:v>
                </c:pt>
                <c:pt idx="2">
                  <c:v>-18560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Actuals'!$A$53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Actuals'!$B$53:$M$53</c:f>
              <c:numCache>
                <c:formatCode>_("$"#,##0_);_("$"\(#,##0\);_(* "-"_);_(@_)</c:formatCode>
                <c:ptCount val="12"/>
                <c:pt idx="2">
                  <c:v>-18560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Actuals'!$P$4:$P$15</c:f>
              <c:numCache>
                <c:formatCode>_("$"#,##0_);_("$"\(#,##0\);_(* "-"_);_(@_)</c:formatCode>
                <c:ptCount val="12"/>
                <c:pt idx="0">
                  <c:v>20000</c:v>
                </c:pt>
                <c:pt idx="1">
                  <c:v>43500</c:v>
                </c:pt>
                <c:pt idx="2">
                  <c:v>70500</c:v>
                </c:pt>
                <c:pt idx="3">
                  <c:v>101000</c:v>
                </c:pt>
                <c:pt idx="4">
                  <c:v>135000</c:v>
                </c:pt>
                <c:pt idx="5">
                  <c:v>172500</c:v>
                </c:pt>
                <c:pt idx="6">
                  <c:v>213500</c:v>
                </c:pt>
                <c:pt idx="7">
                  <c:v>258000</c:v>
                </c:pt>
                <c:pt idx="8">
                  <c:v>306000</c:v>
                </c:pt>
                <c:pt idx="9">
                  <c:v>357500</c:v>
                </c:pt>
                <c:pt idx="10">
                  <c:v>412500</c:v>
                </c:pt>
                <c:pt idx="11">
                  <c:v>471000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Actuals'!$O$4:$O$5</c:f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Actuals'!$R$4:$R$15</c:f>
              <c:numCache>
                <c:formatCode>_("$"#,##0_);_("$"\(#,##0\);_(* "-"_);_(@_)</c:formatCode>
                <c:ptCount val="12"/>
                <c:pt idx="1">
                  <c:v>35000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Actuals'!$P$22:$P$33</c:f>
              <c:numCache>
                <c:formatCode>_("$"#,##0_);_("$"\(#,##0\);_(* "-"_);_(@_)</c:formatCode>
                <c:ptCount val="12"/>
                <c:pt idx="0">
                  <c:v>25000</c:v>
                </c:pt>
                <c:pt idx="1">
                  <c:v>55000</c:v>
                </c:pt>
                <c:pt idx="2">
                  <c:v>90000</c:v>
                </c:pt>
                <c:pt idx="3">
                  <c:v>130000</c:v>
                </c:pt>
                <c:pt idx="4">
                  <c:v>175000</c:v>
                </c:pt>
                <c:pt idx="5">
                  <c:v>222500</c:v>
                </c:pt>
                <c:pt idx="6">
                  <c:v>272500</c:v>
                </c:pt>
                <c:pt idx="7">
                  <c:v>325000</c:v>
                </c:pt>
                <c:pt idx="8">
                  <c:v>380000</c:v>
                </c:pt>
                <c:pt idx="9">
                  <c:v>437500</c:v>
                </c:pt>
                <c:pt idx="10">
                  <c:v>497500</c:v>
                </c:pt>
                <c:pt idx="11">
                  <c:v>560000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Actuals'!$O$22:$O$23</c:f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Actuals'!$R$22:$R$33</c:f>
              <c:numCache>
                <c:formatCode>_("$"#,##0_);_("$"\(#,##0\);_(* "-"_);_(@_)</c:formatCode>
                <c:ptCount val="12"/>
                <c:pt idx="1">
                  <c:v>57270</c:v>
                </c:pt>
                <c:pt idx="2">
                  <c:v>100830</c:v>
                </c:pt>
                <c:pt idx="3">
                  <c:v>100830</c:v>
                </c:pt>
                <c:pt idx="4">
                  <c:v>100830</c:v>
                </c:pt>
                <c:pt idx="5">
                  <c:v>100830</c:v>
                </c:pt>
                <c:pt idx="6">
                  <c:v>100830</c:v>
                </c:pt>
                <c:pt idx="7">
                  <c:v>100830</c:v>
                </c:pt>
                <c:pt idx="8">
                  <c:v>100830</c:v>
                </c:pt>
                <c:pt idx="9">
                  <c:v>100830</c:v>
                </c:pt>
                <c:pt idx="10">
                  <c:v>100830</c:v>
                </c:pt>
                <c:pt idx="11">
                  <c:v>100830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Actuals'!$P$40:$P$51</c:f>
              <c:numCache>
                <c:formatCode>_("$"#,##0_);_("$"\(#,##0\);_(* "-"_);_(@_)</c:formatCode>
                <c:ptCount val="12"/>
                <c:pt idx="0">
                  <c:v>-5000</c:v>
                </c:pt>
                <c:pt idx="1">
                  <c:v>-11500</c:v>
                </c:pt>
                <c:pt idx="2">
                  <c:v>-19500</c:v>
                </c:pt>
                <c:pt idx="3">
                  <c:v>-29000</c:v>
                </c:pt>
                <c:pt idx="4">
                  <c:v>-40000</c:v>
                </c:pt>
                <c:pt idx="5">
                  <c:v>-50000</c:v>
                </c:pt>
                <c:pt idx="6">
                  <c:v>-59000</c:v>
                </c:pt>
                <c:pt idx="7">
                  <c:v>-67000</c:v>
                </c:pt>
                <c:pt idx="8">
                  <c:v>-74000</c:v>
                </c:pt>
                <c:pt idx="9">
                  <c:v>-80000</c:v>
                </c:pt>
                <c:pt idx="10">
                  <c:v>-85000</c:v>
                </c:pt>
                <c:pt idx="11">
                  <c:v>-89000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5F-4432-8EC4-484E374B8364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Actuals'!$O$40:$O$41</c:f>
            </c:numRef>
          </c:val>
          <c:smooth val="1"/>
          <c:extLst>
            <c:ext xmlns:c16="http://schemas.microsoft.com/office/drawing/2014/chart" uri="{C3380CC4-5D6E-409C-BE32-E72D297353CC}">
              <c16:uniqueId val="{00000001-665F-4432-8EC4-484E374B8364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Actuals'!$R$40:$R$51</c:f>
              <c:numCache>
                <c:formatCode>_("$"#,##0_);_("$"\(#,##0\);_(* "-"_);_(@_)</c:formatCode>
                <c:ptCount val="12"/>
                <c:pt idx="1">
                  <c:v>-22270</c:v>
                </c:pt>
                <c:pt idx="2">
                  <c:v>-40830</c:v>
                </c:pt>
                <c:pt idx="3">
                  <c:v>-40830</c:v>
                </c:pt>
                <c:pt idx="4">
                  <c:v>-40830</c:v>
                </c:pt>
                <c:pt idx="5">
                  <c:v>-40830</c:v>
                </c:pt>
                <c:pt idx="6">
                  <c:v>-40830</c:v>
                </c:pt>
                <c:pt idx="7">
                  <c:v>-40830</c:v>
                </c:pt>
                <c:pt idx="8">
                  <c:v>-40830</c:v>
                </c:pt>
                <c:pt idx="9">
                  <c:v>-40830</c:v>
                </c:pt>
                <c:pt idx="10">
                  <c:v>-40830</c:v>
                </c:pt>
                <c:pt idx="11">
                  <c:v>-40830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5F-4432-8EC4-484E374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v>Cash</c:v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'Operating Model'!$F$5:$Q$5</c:f>
              <c:numCache>
                <c:formatCode>mmm\ 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'Operating Model'!$F$91:$Q$91</c:f>
              <c:numCache>
                <c:formatCode>_(* #,##0_);_(* \(#,##0\);_(* "-"??_);_(@_)</c:formatCode>
                <c:ptCount val="12"/>
                <c:pt idx="0">
                  <c:v>91406.666666666672</c:v>
                </c:pt>
                <c:pt idx="1">
                  <c:v>77730</c:v>
                </c:pt>
                <c:pt idx="2">
                  <c:v>59170</c:v>
                </c:pt>
                <c:pt idx="3">
                  <c:v>59170</c:v>
                </c:pt>
                <c:pt idx="4">
                  <c:v>59170</c:v>
                </c:pt>
                <c:pt idx="5">
                  <c:v>59170</c:v>
                </c:pt>
                <c:pt idx="6">
                  <c:v>59170</c:v>
                </c:pt>
                <c:pt idx="7">
                  <c:v>59170</c:v>
                </c:pt>
                <c:pt idx="8">
                  <c:v>59170</c:v>
                </c:pt>
                <c:pt idx="9">
                  <c:v>59170</c:v>
                </c:pt>
                <c:pt idx="10">
                  <c:v>59170</c:v>
                </c:pt>
                <c:pt idx="11">
                  <c:v>59170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11-4148-8025-28E40EBB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79760"/>
        <c:axId val="438781400"/>
      </c:lineChart>
      <c:dateAx>
        <c:axId val="438779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781400"/>
        <c:crosses val="autoZero"/>
        <c:auto val="1"/>
        <c:lblOffset val="100"/>
        <c:baseTimeUnit val="months"/>
      </c:dateAx>
      <c:valAx>
        <c:axId val="438781400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779760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v>Sales</c:v>
          </c:tx>
          <c:spPr>
            <a:solidFill>
              <a:srgbClr val="00A2D3"/>
            </a:solidFill>
            <a:ln>
              <a:noFill/>
            </a:ln>
            <a:effectLst/>
          </c:spPr>
          <c:invertIfNegative val="0"/>
          <c:cat>
            <c:numRef>
              <c:f>'Operating Model'!$F$5:$Q$5</c:f>
              <c:numCache>
                <c:formatCode>mmm\ 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'Operating Model'!$F$16:$Q$16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20000</c:v>
                </c:pt>
                <c:pt idx="2">
                  <c:v>25000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262-ADA8-4402EC6E5CE4}"/>
            </c:ext>
          </c:extLst>
        </c:ser>
        <c:ser>
          <c:idx val="3"/>
          <c:order val="1"/>
          <c:tx>
            <c:strRef>
              <c:f>'Operating Model'!$A$93</c:f>
              <c:strCache>
                <c:ptCount val="1"/>
                <c:pt idx="0">
                  <c:v>Gross Burn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'Operating Model'!$F$5:$Q$5</c:f>
              <c:numCache>
                <c:formatCode>mmm\ 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'Operating Model'!$F$93:$Q$93</c:f>
              <c:numCache>
                <c:formatCode>_(* #,##0_);_(* \(#,##0\);_(* "-"??_);_(@_)</c:formatCode>
                <c:ptCount val="12"/>
                <c:pt idx="0">
                  <c:v>23593.333333333332</c:v>
                </c:pt>
                <c:pt idx="1">
                  <c:v>33676.666666666672</c:v>
                </c:pt>
                <c:pt idx="2">
                  <c:v>43560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44-4262-ADA8-4402EC6E5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79760"/>
        <c:axId val="438781400"/>
      </c:barChart>
      <c:lineChart>
        <c:grouping val="standard"/>
        <c:varyColors val="0"/>
        <c:ser>
          <c:idx val="0"/>
          <c:order val="2"/>
          <c:tx>
            <c:strRef>
              <c:f>'Operating Model'!$A$84</c:f>
              <c:strCache>
                <c:ptCount val="1"/>
                <c:pt idx="0">
                  <c:v>Net Income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'Operating Model'!$F$84:$Q$84</c:f>
              <c:numCache>
                <c:formatCode>_(* #,##0_);_(* \(#,##0\);_(* "-"??_);_(@_)</c:formatCode>
                <c:ptCount val="12"/>
                <c:pt idx="0">
                  <c:v>-8593.3333333333321</c:v>
                </c:pt>
                <c:pt idx="1">
                  <c:v>-13676.666666666668</c:v>
                </c:pt>
                <c:pt idx="2">
                  <c:v>-18560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EB-4199-9898-B3337AB39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79760"/>
        <c:axId val="438781400"/>
      </c:lineChart>
      <c:catAx>
        <c:axId val="438779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781400"/>
        <c:crosses val="autoZero"/>
        <c:auto val="1"/>
        <c:lblAlgn val="ctr"/>
        <c:lblOffset val="100"/>
        <c:noMultiLvlLbl val="1"/>
      </c:catAx>
      <c:valAx>
        <c:axId val="438781400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77976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48128564221446"/>
          <c:y val="0.86364260717410324"/>
          <c:w val="0.67451871435778554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Vs Actuals'!$A$3</c:f>
              <c:strCache>
                <c:ptCount val="1"/>
                <c:pt idx="0">
                  <c:v>2017 Budget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Actuals'!$B$3:$M$3</c:f>
              <c:numCache>
                <c:formatCode>_("$"#,##0_);_("$"\(#,##0\);_(* "-"_);_(@_)</c:formatCode>
                <c:ptCount val="12"/>
                <c:pt idx="0">
                  <c:v>20000</c:v>
                </c:pt>
                <c:pt idx="1">
                  <c:v>23500</c:v>
                </c:pt>
                <c:pt idx="2">
                  <c:v>27000</c:v>
                </c:pt>
                <c:pt idx="3">
                  <c:v>30500</c:v>
                </c:pt>
                <c:pt idx="4">
                  <c:v>34000</c:v>
                </c:pt>
                <c:pt idx="5">
                  <c:v>37500</c:v>
                </c:pt>
                <c:pt idx="6">
                  <c:v>41000</c:v>
                </c:pt>
                <c:pt idx="7">
                  <c:v>44500</c:v>
                </c:pt>
                <c:pt idx="8">
                  <c:v>48000</c:v>
                </c:pt>
                <c:pt idx="9">
                  <c:v>51500</c:v>
                </c:pt>
                <c:pt idx="10">
                  <c:v>55000</c:v>
                </c:pt>
                <c:pt idx="11">
                  <c:v>58500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C6-4693-89ED-C99A781A839B}"/>
            </c:ext>
          </c:extLst>
        </c:ser>
        <c:ser>
          <c:idx val="1"/>
          <c:order val="1"/>
          <c:tx>
            <c:strRef>
              <c:f>'Budget Vs Actuals'!$A$16</c:f>
              <c:strCache>
                <c:ptCount val="1"/>
                <c:pt idx="0">
                  <c:v>Actuals</c:v>
                </c:pt>
              </c:strCache>
            </c:strRef>
          </c:tx>
          <c:spPr>
            <a:ln w="19050" cap="rnd">
              <a:solidFill>
                <a:srgbClr val="00A2D3"/>
              </a:solidFill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Actuals'!$B$16:$M$16</c:f>
              <c:numCache>
                <c:formatCode>"$"#,##0_);[Red]\("$"#,##0\)</c:formatCode>
                <c:ptCount val="12"/>
                <c:pt idx="0">
                  <c:v>15000</c:v>
                </c:pt>
                <c:pt idx="1">
                  <c:v>20000</c:v>
                </c:pt>
                <c:pt idx="2">
                  <c:v>25000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C6-4693-89ED-C99A781A839B}"/>
            </c:ext>
          </c:extLst>
        </c:ser>
        <c:ser>
          <c:idx val="2"/>
          <c:order val="2"/>
          <c:tx>
            <c:strRef>
              <c:f>'Budget Vs Actuals'!$A$17</c:f>
              <c:strCache>
                <c:ptCount val="1"/>
                <c:pt idx="0">
                  <c:v>New Forecast</c:v>
                </c:pt>
              </c:strCache>
            </c:strRef>
          </c:tx>
          <c:spPr>
            <a:ln w="19050" cap="rnd">
              <a:solidFill>
                <a:srgbClr val="00A2D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'Budget Vs Actuals'!$B$1:$M$1</c:f>
              <c:numCache>
                <c:formatCode>[$-409]mmm\-yy;@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'Budget Vs Actuals'!$B$17:$M$17</c:f>
              <c:numCache>
                <c:formatCode>_("$"#,##0_);_("$"\(#,##0\);_(* "-"_);_(@_)</c:formatCode>
                <c:ptCount val="12"/>
                <c:pt idx="2">
                  <c:v>25000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1C6-4693-89ED-C99A781A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05304"/>
        <c:axId val="437703664"/>
      </c:lineChart>
      <c:dateAx>
        <c:axId val="4377053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3664"/>
        <c:crosses val="autoZero"/>
        <c:auto val="1"/>
        <c:lblOffset val="100"/>
        <c:baseTimeUnit val="months"/>
      </c:dateAx>
      <c:valAx>
        <c:axId val="437703664"/>
        <c:scaling>
          <c:orientation val="minMax"/>
          <c:max val="80000"/>
        </c:scaling>
        <c:delete val="0"/>
        <c:axPos val="l"/>
        <c:numFmt formatCode="_(&quot;$&quot;#,##0_);_(&quot;$&quot;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7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26</xdr:col>
      <xdr:colOff>304800</xdr:colOff>
      <xdr:row>18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5B0B24-4AAA-4431-9829-92B218936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26</xdr:col>
      <xdr:colOff>304800</xdr:colOff>
      <xdr:row>36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F4691E-61F5-48B4-867F-247A4EB43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37</xdr:row>
      <xdr:rowOff>0</xdr:rowOff>
    </xdr:from>
    <xdr:to>
      <xdr:col>26</xdr:col>
      <xdr:colOff>304800</xdr:colOff>
      <xdr:row>54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02783D-1F29-4002-8236-E9DF8327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34</xdr:col>
      <xdr:colOff>304800</xdr:colOff>
      <xdr:row>18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36E054F-7A50-42C3-B247-221311AC5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19</xdr:row>
      <xdr:rowOff>0</xdr:rowOff>
    </xdr:from>
    <xdr:to>
      <xdr:col>34</xdr:col>
      <xdr:colOff>304800</xdr:colOff>
      <xdr:row>36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A67871-2205-4C70-82A5-7277B6698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37</xdr:row>
      <xdr:rowOff>0</xdr:rowOff>
    </xdr:from>
    <xdr:to>
      <xdr:col>34</xdr:col>
      <xdr:colOff>304800</xdr:colOff>
      <xdr:row>54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FFEFAF5-1001-4E50-B4BB-9542BBF41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38100</xdr:rowOff>
    </xdr:from>
    <xdr:to>
      <xdr:col>6</xdr:col>
      <xdr:colOff>666751</xdr:colOff>
      <xdr:row>34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C7E4F4-00AC-45B5-859C-A55E947E9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9526</xdr:colOff>
      <xdr:row>9</xdr:row>
      <xdr:rowOff>38100</xdr:rowOff>
    </xdr:from>
    <xdr:to>
      <xdr:col>7</xdr:col>
      <xdr:colOff>9526</xdr:colOff>
      <xdr:row>20</xdr:row>
      <xdr:rowOff>113500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1F57B5-2495-4186-B86C-4A5E5CED5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37</xdr:row>
      <xdr:rowOff>19050</xdr:rowOff>
    </xdr:from>
    <xdr:to>
      <xdr:col>7</xdr:col>
      <xdr:colOff>47625</xdr:colOff>
      <xdr:row>49</xdr:row>
      <xdr:rowOff>179069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CE63D9-37E7-4C47-964E-85B3ECBB7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52</xdr:row>
      <xdr:rowOff>57151</xdr:rowOff>
    </xdr:from>
    <xdr:to>
      <xdr:col>7</xdr:col>
      <xdr:colOff>47625</xdr:colOff>
      <xdr:row>65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077233-6F74-4CD3-9466-C6F00EEF0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657225</xdr:colOff>
      <xdr:row>37</xdr:row>
      <xdr:rowOff>19050</xdr:rowOff>
    </xdr:from>
    <xdr:to>
      <xdr:col>14</xdr:col>
      <xdr:colOff>95250</xdr:colOff>
      <xdr:row>49</xdr:row>
      <xdr:rowOff>179069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344B8F-3954-4905-8AAB-CC2C0BF0B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657225</xdr:colOff>
      <xdr:row>52</xdr:row>
      <xdr:rowOff>57151</xdr:rowOff>
    </xdr:from>
    <xdr:to>
      <xdr:col>14</xdr:col>
      <xdr:colOff>95250</xdr:colOff>
      <xdr:row>65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EC5DEB-A113-44D5-9A65-D0256BE26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workbookViewId="0">
      <selection activeCell="J20" sqref="J20"/>
    </sheetView>
  </sheetViews>
  <sheetFormatPr defaultRowHeight="12" outlineLevelCol="1" x14ac:dyDescent="0.2"/>
  <cols>
    <col min="1" max="1" width="12.85546875" style="16" customWidth="1"/>
    <col min="2" max="13" width="9.140625" style="13"/>
    <col min="14" max="15" width="10.7109375" style="13" hidden="1" customWidth="1" outlineLevel="1"/>
    <col min="16" max="16" width="10.7109375" style="13" customWidth="1" collapsed="1"/>
    <col min="17" max="17" width="10.7109375" style="13" hidden="1" customWidth="1" outlineLevel="1"/>
    <col min="18" max="18" width="10.7109375" style="13" customWidth="1" collapsed="1"/>
    <col min="19" max="19" width="4.42578125" style="13" customWidth="1"/>
    <col min="20" max="16384" width="9.140625" style="13"/>
  </cols>
  <sheetData>
    <row r="1" spans="1:18" x14ac:dyDescent="0.2">
      <c r="A1" s="98" t="s">
        <v>34</v>
      </c>
      <c r="B1" s="43">
        <v>42736</v>
      </c>
      <c r="C1" s="43">
        <f>DATE(YEAR(B1),MONTH(B1)+1,DAY(B1))</f>
        <v>42767</v>
      </c>
      <c r="D1" s="43">
        <f t="shared" ref="D1:M1" si="0">DATE(YEAR(C1),MONTH(C1)+1,DAY(C1))</f>
        <v>42795</v>
      </c>
      <c r="E1" s="43">
        <f t="shared" si="0"/>
        <v>42826</v>
      </c>
      <c r="F1" s="43">
        <f t="shared" si="0"/>
        <v>42856</v>
      </c>
      <c r="G1" s="43">
        <f t="shared" si="0"/>
        <v>42887</v>
      </c>
      <c r="H1" s="43">
        <f t="shared" si="0"/>
        <v>42917</v>
      </c>
      <c r="I1" s="43">
        <f t="shared" si="0"/>
        <v>42948</v>
      </c>
      <c r="J1" s="43">
        <f t="shared" si="0"/>
        <v>42979</v>
      </c>
      <c r="K1" s="43">
        <f t="shared" si="0"/>
        <v>43009</v>
      </c>
      <c r="L1" s="43">
        <f t="shared" si="0"/>
        <v>43040</v>
      </c>
      <c r="M1" s="43">
        <f t="shared" si="0"/>
        <v>43070</v>
      </c>
      <c r="N1" s="16"/>
      <c r="O1" s="16" t="s">
        <v>48</v>
      </c>
      <c r="P1" s="16" t="s">
        <v>48</v>
      </c>
      <c r="Q1" s="16" t="s">
        <v>48</v>
      </c>
      <c r="R1" s="16" t="s">
        <v>48</v>
      </c>
    </row>
    <row r="2" spans="1:18" x14ac:dyDescent="0.2">
      <c r="A2" s="16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6" t="s">
        <v>49</v>
      </c>
      <c r="O2" s="16" t="s">
        <v>50</v>
      </c>
      <c r="P2" s="16" t="s">
        <v>51</v>
      </c>
      <c r="Q2" s="16" t="s">
        <v>52</v>
      </c>
      <c r="R2" s="16" t="s">
        <v>53</v>
      </c>
    </row>
    <row r="3" spans="1:18" ht="14.25" x14ac:dyDescent="0.2">
      <c r="A3" s="16" t="s">
        <v>54</v>
      </c>
      <c r="B3" s="44">
        <v>20000</v>
      </c>
      <c r="C3" s="44">
        <v>23500</v>
      </c>
      <c r="D3" s="44">
        <v>27000</v>
      </c>
      <c r="E3" s="44">
        <v>30500</v>
      </c>
      <c r="F3" s="44">
        <v>34000</v>
      </c>
      <c r="G3" s="44">
        <v>37500</v>
      </c>
      <c r="H3" s="44">
        <v>41000</v>
      </c>
      <c r="I3" s="44">
        <v>44500</v>
      </c>
      <c r="J3" s="44">
        <v>48000</v>
      </c>
      <c r="K3" s="44">
        <v>51500</v>
      </c>
      <c r="L3" s="44">
        <v>55000</v>
      </c>
      <c r="M3" s="44">
        <v>58500</v>
      </c>
      <c r="N3" s="45">
        <f>SUM(B3:M3)+O3</f>
        <v>471000</v>
      </c>
      <c r="R3" s="6"/>
    </row>
    <row r="4" spans="1:18" x14ac:dyDescent="0.2">
      <c r="A4" s="167">
        <f>+B1</f>
        <v>42736</v>
      </c>
      <c r="B4" s="46">
        <f ca="1">IF(B$1&lt;Forecast_Start_Date,INDEX(Total_Income,MATCH(B$1,Operating_Model_Months,0))," ")</f>
        <v>15000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5">
        <f ca="1">SUM(C4:M4)+O4</f>
        <v>15000</v>
      </c>
      <c r="O4" s="47">
        <f ca="1">B4</f>
        <v>15000</v>
      </c>
      <c r="P4" s="48">
        <f>B3</f>
        <v>20000</v>
      </c>
      <c r="Q4" s="48">
        <f ca="1">O4-P4</f>
        <v>-5000</v>
      </c>
      <c r="R4" s="48"/>
    </row>
    <row r="5" spans="1:18" x14ac:dyDescent="0.2">
      <c r="A5" s="167">
        <f>DATE(YEAR(A4),MONTH(A4)+1,DAY(A4))</f>
        <v>42767</v>
      </c>
      <c r="C5" s="46">
        <f ca="1">IF(C$1&lt;Forecast_Start_Date,INDEX(Total_Income,MATCH(C$1,Operating_Model_Months,0))," ")</f>
        <v>20000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45">
        <f ca="1">SUM(D5:M5)+O5</f>
        <v>35000</v>
      </c>
      <c r="O5" s="47">
        <f ca="1">C5+O4</f>
        <v>35000</v>
      </c>
      <c r="P5" s="48">
        <f>SUM(B3:C3)</f>
        <v>43500</v>
      </c>
      <c r="Q5" s="48">
        <f t="shared" ref="Q5:Q15" ca="1" si="1">O5-P5</f>
        <v>-8500</v>
      </c>
      <c r="R5" s="48">
        <f ca="1">+O5</f>
        <v>35000</v>
      </c>
    </row>
    <row r="6" spans="1:18" x14ac:dyDescent="0.2">
      <c r="A6" s="167">
        <f t="shared" ref="A6:A15" si="2">DATE(YEAR(A5),MONTH(A5)+1,DAY(A5))</f>
        <v>42795</v>
      </c>
      <c r="D6" s="46">
        <f ca="1">IF(D$1&lt;Forecast_Start_Date,INDEX(Total_Income,MATCH(D$1,Operating_Model_Months,0))," ")</f>
        <v>25000</v>
      </c>
      <c r="E6" s="15">
        <f t="shared" ref="E6:M6" ca="1" si="3">INDEX(Total_Income,MATCH(E$1,Operating_Model_Months,0))</f>
        <v>0</v>
      </c>
      <c r="F6" s="15">
        <f t="shared" ca="1" si="3"/>
        <v>0</v>
      </c>
      <c r="G6" s="15">
        <f t="shared" ca="1" si="3"/>
        <v>0</v>
      </c>
      <c r="H6" s="15">
        <f t="shared" ca="1" si="3"/>
        <v>0</v>
      </c>
      <c r="I6" s="15">
        <f t="shared" ca="1" si="3"/>
        <v>0</v>
      </c>
      <c r="J6" s="15">
        <f t="shared" ca="1" si="3"/>
        <v>0</v>
      </c>
      <c r="K6" s="15">
        <f t="shared" ca="1" si="3"/>
        <v>0</v>
      </c>
      <c r="L6" s="15">
        <f t="shared" ca="1" si="3"/>
        <v>0</v>
      </c>
      <c r="M6" s="15">
        <f t="shared" ca="1" si="3"/>
        <v>0</v>
      </c>
      <c r="N6" s="45">
        <f ca="1">SUM(E6:M6)+O6</f>
        <v>60000</v>
      </c>
      <c r="O6" s="47">
        <f ca="1">D6+O5</f>
        <v>60000</v>
      </c>
      <c r="P6" s="48">
        <f>SUM(B3:D3)</f>
        <v>70500</v>
      </c>
      <c r="Q6" s="48">
        <f t="shared" ca="1" si="1"/>
        <v>-10500</v>
      </c>
      <c r="R6" s="48">
        <f ca="1">+R5+D17</f>
        <v>60000</v>
      </c>
    </row>
    <row r="7" spans="1:18" x14ac:dyDescent="0.2">
      <c r="A7" s="167">
        <f t="shared" si="2"/>
        <v>42826</v>
      </c>
      <c r="E7" s="46">
        <f ca="1">IF(E$1&lt;Forecast_Start_Date,INDEX(Total_Income,MATCH(E$1,Operating_Model_Months,0))," ")</f>
        <v>0</v>
      </c>
      <c r="F7" s="15"/>
      <c r="G7" s="15"/>
      <c r="H7" s="15"/>
      <c r="I7" s="15"/>
      <c r="J7" s="15"/>
      <c r="K7" s="15"/>
      <c r="L7" s="15"/>
      <c r="M7" s="15"/>
      <c r="N7" s="45">
        <f ca="1">SUM(F7:M7)+O7</f>
        <v>60000</v>
      </c>
      <c r="O7" s="47">
        <f ca="1">E7+O6</f>
        <v>60000</v>
      </c>
      <c r="P7" s="48">
        <f>SUM(B3:E3)</f>
        <v>101000</v>
      </c>
      <c r="Q7" s="48">
        <f t="shared" ca="1" si="1"/>
        <v>-41000</v>
      </c>
      <c r="R7" s="48">
        <f ca="1">+R6+E17</f>
        <v>60000</v>
      </c>
    </row>
    <row r="8" spans="1:18" x14ac:dyDescent="0.2">
      <c r="A8" s="167">
        <f t="shared" si="2"/>
        <v>42856</v>
      </c>
      <c r="F8" s="46" t="str">
        <f>IF(F$1&lt;Forecast_Start_Date,INDEX(Total_Income,MATCH(F$1,Operating_Model_Months,0))," ")</f>
        <v xml:space="preserve"> </v>
      </c>
      <c r="G8" s="15"/>
      <c r="H8" s="15"/>
      <c r="I8" s="15"/>
      <c r="J8" s="15"/>
      <c r="K8" s="15"/>
      <c r="L8" s="15"/>
      <c r="M8" s="15"/>
      <c r="N8" s="45" t="e">
        <f ca="1">SUM(G8:M8)+O8</f>
        <v>#VALUE!</v>
      </c>
      <c r="O8" s="47" t="e">
        <f ca="1">F8+O7</f>
        <v>#VALUE!</v>
      </c>
      <c r="P8" s="48">
        <f>SUM(B3:F3)</f>
        <v>135000</v>
      </c>
      <c r="Q8" s="48" t="e">
        <f t="shared" ca="1" si="1"/>
        <v>#VALUE!</v>
      </c>
      <c r="R8" s="48">
        <f ca="1">+R7+F17</f>
        <v>60000</v>
      </c>
    </row>
    <row r="9" spans="1:18" x14ac:dyDescent="0.2">
      <c r="A9" s="167">
        <f t="shared" si="2"/>
        <v>42887</v>
      </c>
      <c r="G9" s="46" t="str">
        <f>IF(G$1&lt;Forecast_Start_Date,INDEX(Total_Income,MATCH(G$1,Operating_Model_Months,0))," ")</f>
        <v xml:space="preserve"> </v>
      </c>
      <c r="H9" s="15"/>
      <c r="I9" s="15"/>
      <c r="J9" s="15"/>
      <c r="K9" s="15"/>
      <c r="L9" s="15"/>
      <c r="M9" s="15"/>
      <c r="N9" s="45" t="e">
        <f ca="1">SUM(H9:M9)+O9</f>
        <v>#VALUE!</v>
      </c>
      <c r="O9" s="47" t="e">
        <f ca="1">G9+O8</f>
        <v>#VALUE!</v>
      </c>
      <c r="P9" s="48">
        <f>SUM(B3:G3)</f>
        <v>172500</v>
      </c>
      <c r="Q9" s="48" t="e">
        <f t="shared" ca="1" si="1"/>
        <v>#VALUE!</v>
      </c>
      <c r="R9" s="48">
        <f ca="1">+R8+G17</f>
        <v>60000</v>
      </c>
    </row>
    <row r="10" spans="1:18" x14ac:dyDescent="0.2">
      <c r="A10" s="167">
        <f t="shared" si="2"/>
        <v>42917</v>
      </c>
      <c r="H10" s="46" t="str">
        <f>IF(H$1&lt;Forecast_Start_Date,INDEX(Total_Income,MATCH(H$1,Operating_Model_Months,0))," ")</f>
        <v xml:space="preserve"> </v>
      </c>
      <c r="I10" s="15"/>
      <c r="J10" s="15"/>
      <c r="K10" s="15"/>
      <c r="L10" s="15"/>
      <c r="M10" s="15"/>
      <c r="N10" s="45" t="e">
        <f ca="1">SUM(I10:M10)+O10</f>
        <v>#VALUE!</v>
      </c>
      <c r="O10" s="47" t="e">
        <f ca="1">H10+O9</f>
        <v>#VALUE!</v>
      </c>
      <c r="P10" s="48">
        <f>SUM(B3:H3)</f>
        <v>213500</v>
      </c>
      <c r="Q10" s="48" t="e">
        <f t="shared" ca="1" si="1"/>
        <v>#VALUE!</v>
      </c>
      <c r="R10" s="48">
        <f ca="1">+R9+H17</f>
        <v>60000</v>
      </c>
    </row>
    <row r="11" spans="1:18" x14ac:dyDescent="0.2">
      <c r="A11" s="167">
        <f t="shared" si="2"/>
        <v>42948</v>
      </c>
      <c r="I11" s="46" t="str">
        <f>IF(I$1&lt;Forecast_Start_Date,INDEX(Total_Income,MATCH(I$1,Operating_Model_Months,0))," ")</f>
        <v xml:space="preserve"> </v>
      </c>
      <c r="J11" s="15"/>
      <c r="K11" s="15"/>
      <c r="L11" s="15"/>
      <c r="M11" s="15"/>
      <c r="N11" s="45" t="e">
        <f ca="1">SUM(J11:M11)+O11</f>
        <v>#VALUE!</v>
      </c>
      <c r="O11" s="47" t="e">
        <f ca="1">I11+O10</f>
        <v>#VALUE!</v>
      </c>
      <c r="P11" s="48">
        <f>SUM(B3:I3)</f>
        <v>258000</v>
      </c>
      <c r="Q11" s="48" t="e">
        <f t="shared" ca="1" si="1"/>
        <v>#VALUE!</v>
      </c>
      <c r="R11" s="48">
        <f ca="1">+R10+I17</f>
        <v>60000</v>
      </c>
    </row>
    <row r="12" spans="1:18" x14ac:dyDescent="0.2">
      <c r="A12" s="167">
        <f t="shared" si="2"/>
        <v>42979</v>
      </c>
      <c r="J12" s="46" t="str">
        <f>IF(J$1&lt;Forecast_Start_Date,INDEX(Total_Income,MATCH(J$1,Operating_Model_Months,0))," ")</f>
        <v xml:space="preserve"> </v>
      </c>
      <c r="K12" s="15"/>
      <c r="L12" s="15"/>
      <c r="M12" s="15"/>
      <c r="N12" s="45" t="e">
        <f ca="1">SUM(K12:M12)+O12</f>
        <v>#VALUE!</v>
      </c>
      <c r="O12" s="47" t="e">
        <f ca="1">J12+O11</f>
        <v>#VALUE!</v>
      </c>
      <c r="P12" s="48">
        <f>SUM(B3:J3)</f>
        <v>306000</v>
      </c>
      <c r="Q12" s="48" t="e">
        <f t="shared" ca="1" si="1"/>
        <v>#VALUE!</v>
      </c>
      <c r="R12" s="48">
        <f ca="1">+R11+J17</f>
        <v>60000</v>
      </c>
    </row>
    <row r="13" spans="1:18" x14ac:dyDescent="0.2">
      <c r="A13" s="167">
        <f t="shared" si="2"/>
        <v>43009</v>
      </c>
      <c r="K13" s="46" t="str">
        <f>IF(K$1&lt;Forecast_Start_Date,INDEX(Total_Income,MATCH(K$1,Operating_Model_Months,0))," ")</f>
        <v xml:space="preserve"> </v>
      </c>
      <c r="L13" s="15"/>
      <c r="M13" s="15"/>
      <c r="N13" s="45" t="e">
        <f ca="1">SUM(L13:M13)+O13</f>
        <v>#VALUE!</v>
      </c>
      <c r="O13" s="47" t="e">
        <f ca="1">K13+O12</f>
        <v>#VALUE!</v>
      </c>
      <c r="P13" s="48">
        <f>SUM(B3:K3)</f>
        <v>357500</v>
      </c>
      <c r="Q13" s="48" t="e">
        <f t="shared" ca="1" si="1"/>
        <v>#VALUE!</v>
      </c>
      <c r="R13" s="48">
        <f ca="1">+R12+K17</f>
        <v>60000</v>
      </c>
    </row>
    <row r="14" spans="1:18" x14ac:dyDescent="0.2">
      <c r="A14" s="167">
        <f t="shared" si="2"/>
        <v>43040</v>
      </c>
      <c r="L14" s="46" t="str">
        <f>IF(L$1&lt;Forecast_Start_Date,INDEX(Total_Income,MATCH(L$1,Operating_Model_Months,0))," ")</f>
        <v xml:space="preserve"> </v>
      </c>
      <c r="N14" s="45" t="e">
        <f ca="1">SUM(M14)+O14</f>
        <v>#VALUE!</v>
      </c>
      <c r="O14" s="47" t="e">
        <f ca="1">L14+O13</f>
        <v>#VALUE!</v>
      </c>
      <c r="P14" s="48">
        <f>SUM(B3:L3)</f>
        <v>412500</v>
      </c>
      <c r="Q14" s="48" t="e">
        <f t="shared" ca="1" si="1"/>
        <v>#VALUE!</v>
      </c>
      <c r="R14" s="48">
        <f ca="1">+R13+L17</f>
        <v>60000</v>
      </c>
    </row>
    <row r="15" spans="1:18" x14ac:dyDescent="0.2">
      <c r="A15" s="167">
        <f t="shared" si="2"/>
        <v>43070</v>
      </c>
      <c r="M15" s="46" t="str">
        <f>IF(M$1&lt;Forecast_Start_Date,INDEX(Total_Income,MATCH(M$1,Operating_Model_Months,0))," ")</f>
        <v xml:space="preserve"> </v>
      </c>
      <c r="N15" s="45" t="e">
        <f ca="1">O15</f>
        <v>#VALUE!</v>
      </c>
      <c r="O15" s="47" t="e">
        <f ca="1">M15+O14</f>
        <v>#VALUE!</v>
      </c>
      <c r="P15" s="48">
        <f>SUM(B3:M3)</f>
        <v>471000</v>
      </c>
      <c r="Q15" s="48" t="e">
        <f t="shared" ca="1" si="1"/>
        <v>#VALUE!</v>
      </c>
      <c r="R15" s="48">
        <f ca="1">+R14+M17</f>
        <v>60000</v>
      </c>
    </row>
    <row r="16" spans="1:18" ht="14.25" x14ac:dyDescent="0.2">
      <c r="A16" s="16" t="s">
        <v>55</v>
      </c>
      <c r="B16" s="58">
        <f ca="1">IF(AND(B$1&gt;=Historicals_Start_Date,B$1&lt;Forecast_Start_Date),INDEX(Total_Income,MATCH(B$1,Operating_Model_Months,0)),0)</f>
        <v>15000</v>
      </c>
      <c r="C16" s="58">
        <f ca="1">IF(AND(C$1&gt;=Historicals_Start_Date,C$1&lt;Forecast_Start_Date),INDEX(Total_Income,MATCH(C$1,Operating_Model_Months,0)),0)</f>
        <v>20000</v>
      </c>
      <c r="D16" s="58">
        <f ca="1">IF(AND(D$1&gt;=Historicals_Start_Date,D$1&lt;Forecast_Start_Date),INDEX(Total_Income,MATCH(D$1,Operating_Model_Months,0)),0)</f>
        <v>25000</v>
      </c>
      <c r="E16" s="58"/>
      <c r="F16" s="58"/>
      <c r="G16" s="58"/>
      <c r="H16" s="58"/>
      <c r="I16" s="58"/>
      <c r="J16" s="58"/>
      <c r="K16" s="58"/>
      <c r="L16" s="58"/>
      <c r="M16" s="58"/>
      <c r="R16" s="6"/>
    </row>
    <row r="17" spans="1:18" ht="14.25" x14ac:dyDescent="0.2">
      <c r="A17" s="16" t="s">
        <v>53</v>
      </c>
      <c r="B17" s="49"/>
      <c r="C17" s="50"/>
      <c r="D17" s="50">
        <f ca="1">IF(D$1&lt;Forecast_Start_Date,INDEX(Total_Income,MATCH(D$1,Operating_Model_Months,0))," ")</f>
        <v>25000</v>
      </c>
      <c r="E17" s="50">
        <f t="shared" ref="E17:M17" ca="1" si="4">INDEX(Total_Income,MATCH(E$1,Operating_Model_Months,0))</f>
        <v>0</v>
      </c>
      <c r="F17" s="50">
        <f t="shared" ca="1" si="4"/>
        <v>0</v>
      </c>
      <c r="G17" s="50">
        <f t="shared" ca="1" si="4"/>
        <v>0</v>
      </c>
      <c r="H17" s="50">
        <f t="shared" ca="1" si="4"/>
        <v>0</v>
      </c>
      <c r="I17" s="50">
        <f t="shared" ca="1" si="4"/>
        <v>0</v>
      </c>
      <c r="J17" s="50">
        <f t="shared" ca="1" si="4"/>
        <v>0</v>
      </c>
      <c r="K17" s="50">
        <f t="shared" ca="1" si="4"/>
        <v>0</v>
      </c>
      <c r="L17" s="50">
        <f t="shared" ca="1" si="4"/>
        <v>0</v>
      </c>
      <c r="M17" s="50">
        <f t="shared" ca="1" si="4"/>
        <v>0</v>
      </c>
      <c r="N17" s="6"/>
      <c r="O17" s="6"/>
      <c r="P17" s="6"/>
      <c r="Q17" s="6"/>
      <c r="R17" s="6"/>
    </row>
    <row r="18" spans="1:18" ht="14.25" x14ac:dyDescent="0.2">
      <c r="B18" s="49"/>
      <c r="C18" s="49"/>
      <c r="D18" s="49"/>
      <c r="E18" s="49"/>
      <c r="F18" s="51"/>
      <c r="G18" s="51"/>
      <c r="H18" s="51"/>
      <c r="I18" s="51"/>
      <c r="J18" s="51"/>
      <c r="K18" s="51"/>
      <c r="L18" s="51"/>
      <c r="M18" s="51"/>
      <c r="N18" s="6"/>
      <c r="O18" s="6"/>
      <c r="P18" s="6"/>
      <c r="Q18" s="6"/>
      <c r="R18" s="6"/>
    </row>
    <row r="19" spans="1:18" x14ac:dyDescent="0.2">
      <c r="A19" s="98" t="s">
        <v>60</v>
      </c>
      <c r="B19" s="43">
        <v>42736</v>
      </c>
      <c r="C19" s="43">
        <f>DATE(YEAR(B19),MONTH(B19)+1,DAY(B19))</f>
        <v>42767</v>
      </c>
      <c r="D19" s="43">
        <f t="shared" ref="D19:M19" si="5">DATE(YEAR(C19),MONTH(C19)+1,DAY(C19))</f>
        <v>42795</v>
      </c>
      <c r="E19" s="43">
        <f t="shared" si="5"/>
        <v>42826</v>
      </c>
      <c r="F19" s="43">
        <f t="shared" si="5"/>
        <v>42856</v>
      </c>
      <c r="G19" s="43">
        <f t="shared" si="5"/>
        <v>42887</v>
      </c>
      <c r="H19" s="43">
        <f t="shared" si="5"/>
        <v>42917</v>
      </c>
      <c r="I19" s="43">
        <f t="shared" si="5"/>
        <v>42948</v>
      </c>
      <c r="J19" s="43">
        <f t="shared" si="5"/>
        <v>42979</v>
      </c>
      <c r="K19" s="43">
        <f t="shared" si="5"/>
        <v>43009</v>
      </c>
      <c r="L19" s="43">
        <f t="shared" si="5"/>
        <v>43040</v>
      </c>
      <c r="M19" s="43">
        <f t="shared" si="5"/>
        <v>43070</v>
      </c>
      <c r="N19" s="16"/>
      <c r="O19" s="16" t="s">
        <v>48</v>
      </c>
      <c r="P19" s="16" t="s">
        <v>48</v>
      </c>
      <c r="Q19" s="16" t="s">
        <v>48</v>
      </c>
      <c r="R19" s="16" t="s">
        <v>48</v>
      </c>
    </row>
    <row r="20" spans="1:18" x14ac:dyDescent="0.2">
      <c r="A20" s="16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6" t="s">
        <v>49</v>
      </c>
      <c r="O20" s="16" t="s">
        <v>50</v>
      </c>
      <c r="P20" s="16" t="s">
        <v>51</v>
      </c>
      <c r="Q20" s="16" t="s">
        <v>52</v>
      </c>
      <c r="R20" s="16" t="s">
        <v>53</v>
      </c>
    </row>
    <row r="21" spans="1:18" ht="14.25" x14ac:dyDescent="0.2">
      <c r="A21" s="16" t="s">
        <v>54</v>
      </c>
      <c r="B21" s="44">
        <v>25000</v>
      </c>
      <c r="C21" s="44">
        <v>30000</v>
      </c>
      <c r="D21" s="44">
        <v>35000</v>
      </c>
      <c r="E21" s="44">
        <v>40000</v>
      </c>
      <c r="F21" s="44">
        <v>45000</v>
      </c>
      <c r="G21" s="44">
        <v>47500</v>
      </c>
      <c r="H21" s="44">
        <v>50000</v>
      </c>
      <c r="I21" s="44">
        <v>52500</v>
      </c>
      <c r="J21" s="44">
        <v>55000</v>
      </c>
      <c r="K21" s="44">
        <v>57500</v>
      </c>
      <c r="L21" s="44">
        <v>60000</v>
      </c>
      <c r="M21" s="44">
        <v>62500</v>
      </c>
      <c r="N21" s="45">
        <f>SUM(B21:M21)+O21</f>
        <v>560000</v>
      </c>
      <c r="R21" s="6"/>
    </row>
    <row r="22" spans="1:18" x14ac:dyDescent="0.2">
      <c r="A22" s="167">
        <f>+B19</f>
        <v>42736</v>
      </c>
      <c r="B22" s="46">
        <f ca="1">IF(B$1&lt;Forecast_Start_Date,INDEX(Gross_Burn_Array,MATCH(B$1,Operating_Model_Months,0))," ")</f>
        <v>23593.333333333332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5">
        <f ca="1">SUM(C22:M22)+O22</f>
        <v>23593.333333333332</v>
      </c>
      <c r="O22" s="47">
        <f ca="1">B22</f>
        <v>23593.333333333332</v>
      </c>
      <c r="P22" s="48">
        <f>B21</f>
        <v>25000</v>
      </c>
      <c r="Q22" s="48">
        <f ca="1">O22-P22</f>
        <v>-1406.6666666666679</v>
      </c>
      <c r="R22" s="48"/>
    </row>
    <row r="23" spans="1:18" x14ac:dyDescent="0.2">
      <c r="A23" s="167">
        <f>DATE(YEAR(A22),MONTH(A22)+1,DAY(A22))</f>
        <v>42767</v>
      </c>
      <c r="C23" s="46">
        <f ca="1">IF(C$1&lt;Forecast_Start_Date,INDEX(Gross_Burn_Array,MATCH(C$1,Operating_Model_Months,0))," ")</f>
        <v>33676.666666666672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5">
        <f ca="1">SUM(D23:M23)+O23</f>
        <v>57270</v>
      </c>
      <c r="O23" s="47">
        <f ca="1">C23+O22</f>
        <v>57270</v>
      </c>
      <c r="P23" s="48">
        <f>SUM(B21:C21)</f>
        <v>55000</v>
      </c>
      <c r="Q23" s="48">
        <f t="shared" ref="Q23:Q33" ca="1" si="6">O23-P23</f>
        <v>2270</v>
      </c>
      <c r="R23" s="48">
        <f ca="1">+O23</f>
        <v>57270</v>
      </c>
    </row>
    <row r="24" spans="1:18" x14ac:dyDescent="0.2">
      <c r="A24" s="167">
        <f t="shared" ref="A24:A33" si="7">DATE(YEAR(A23),MONTH(A23)+1,DAY(A23))</f>
        <v>42795</v>
      </c>
      <c r="D24" s="46">
        <f ca="1">IF(D$1&lt;Forecast_Start_Date,INDEX(Gross_Burn_Array,MATCH(D$1,Operating_Model_Months,0))," ")</f>
        <v>43560</v>
      </c>
      <c r="E24" s="15">
        <f t="shared" ref="E24:M24" ca="1" si="8">INDEX(Gross_Burn_Array,MATCH(E$1,Operating_Model_Months,0))</f>
        <v>0</v>
      </c>
      <c r="F24" s="15">
        <f t="shared" ca="1" si="8"/>
        <v>0</v>
      </c>
      <c r="G24" s="15">
        <f t="shared" ca="1" si="8"/>
        <v>0</v>
      </c>
      <c r="H24" s="15">
        <f t="shared" ca="1" si="8"/>
        <v>0</v>
      </c>
      <c r="I24" s="15">
        <f t="shared" ca="1" si="8"/>
        <v>0</v>
      </c>
      <c r="J24" s="15">
        <f t="shared" ca="1" si="8"/>
        <v>0</v>
      </c>
      <c r="K24" s="15">
        <f t="shared" ca="1" si="8"/>
        <v>0</v>
      </c>
      <c r="L24" s="15">
        <f t="shared" ca="1" si="8"/>
        <v>0</v>
      </c>
      <c r="M24" s="15">
        <f t="shared" ca="1" si="8"/>
        <v>0</v>
      </c>
      <c r="N24" s="45">
        <f ca="1">SUM(E24:M24)+O24</f>
        <v>100830</v>
      </c>
      <c r="O24" s="47">
        <f ca="1">D24+O23</f>
        <v>100830</v>
      </c>
      <c r="P24" s="48">
        <f>SUM(B21:D21)</f>
        <v>90000</v>
      </c>
      <c r="Q24" s="48">
        <f t="shared" ca="1" si="6"/>
        <v>10830</v>
      </c>
      <c r="R24" s="48">
        <f ca="1">+R23+D35</f>
        <v>100830</v>
      </c>
    </row>
    <row r="25" spans="1:18" x14ac:dyDescent="0.2">
      <c r="A25" s="167">
        <f t="shared" si="7"/>
        <v>42826</v>
      </c>
      <c r="E25" s="46">
        <f ca="1">IF(E$1&lt;Forecast_Start_Date,INDEX(Gross_Burn_Array,MATCH(E$1,Operating_Model_Months,0))," ")</f>
        <v>0</v>
      </c>
      <c r="F25" s="15"/>
      <c r="G25" s="15"/>
      <c r="H25" s="15"/>
      <c r="I25" s="15"/>
      <c r="J25" s="15"/>
      <c r="K25" s="15"/>
      <c r="L25" s="15"/>
      <c r="M25" s="15"/>
      <c r="N25" s="45">
        <f ca="1">SUM(F25:M25)+O25</f>
        <v>100830</v>
      </c>
      <c r="O25" s="47">
        <f ca="1">E25+O24</f>
        <v>100830</v>
      </c>
      <c r="P25" s="48">
        <f>SUM(B21:E21)</f>
        <v>130000</v>
      </c>
      <c r="Q25" s="48">
        <f t="shared" ca="1" si="6"/>
        <v>-29170</v>
      </c>
      <c r="R25" s="48">
        <f ca="1">+R24+E35</f>
        <v>100830</v>
      </c>
    </row>
    <row r="26" spans="1:18" x14ac:dyDescent="0.2">
      <c r="A26" s="167">
        <f t="shared" si="7"/>
        <v>42856</v>
      </c>
      <c r="F26" s="46" t="str">
        <f>IF(F$1&lt;Forecast_Start_Date,INDEX(Gross_Burn_Array,MATCH(F$1,Operating_Model_Months,0))," ")</f>
        <v xml:space="preserve"> </v>
      </c>
      <c r="G26" s="15"/>
      <c r="H26" s="15"/>
      <c r="I26" s="15"/>
      <c r="J26" s="15"/>
      <c r="K26" s="15"/>
      <c r="L26" s="15"/>
      <c r="M26" s="15"/>
      <c r="N26" s="45" t="e">
        <f ca="1">SUM(G26:M26)+O26</f>
        <v>#VALUE!</v>
      </c>
      <c r="O26" s="47" t="e">
        <f ca="1">F26+O25</f>
        <v>#VALUE!</v>
      </c>
      <c r="P26" s="48">
        <f>SUM(B21:F21)</f>
        <v>175000</v>
      </c>
      <c r="Q26" s="48" t="e">
        <f t="shared" ca="1" si="6"/>
        <v>#VALUE!</v>
      </c>
      <c r="R26" s="48">
        <f ca="1">+R25+F35</f>
        <v>100830</v>
      </c>
    </row>
    <row r="27" spans="1:18" x14ac:dyDescent="0.2">
      <c r="A27" s="167">
        <f t="shared" si="7"/>
        <v>42887</v>
      </c>
      <c r="G27" s="46" t="str">
        <f>IF(G$1&lt;Forecast_Start_Date,INDEX(Gross_Burn_Array,MATCH(G$1,Operating_Model_Months,0))," ")</f>
        <v xml:space="preserve"> </v>
      </c>
      <c r="H27" s="15"/>
      <c r="I27" s="15"/>
      <c r="J27" s="15"/>
      <c r="K27" s="15"/>
      <c r="L27" s="15"/>
      <c r="M27" s="15"/>
      <c r="N27" s="45" t="e">
        <f ca="1">SUM(H27:M27)+O27</f>
        <v>#VALUE!</v>
      </c>
      <c r="O27" s="47" t="e">
        <f ca="1">G27+O26</f>
        <v>#VALUE!</v>
      </c>
      <c r="P27" s="48">
        <f>SUM(B21:G21)</f>
        <v>222500</v>
      </c>
      <c r="Q27" s="48" t="e">
        <f t="shared" ca="1" si="6"/>
        <v>#VALUE!</v>
      </c>
      <c r="R27" s="48">
        <f ca="1">+R26+G35</f>
        <v>100830</v>
      </c>
    </row>
    <row r="28" spans="1:18" x14ac:dyDescent="0.2">
      <c r="A28" s="167">
        <f t="shared" si="7"/>
        <v>42917</v>
      </c>
      <c r="H28" s="46" t="str">
        <f>IF(H$1&lt;Forecast_Start_Date,INDEX(Gross_Burn_Array,MATCH(H$1,Operating_Model_Months,0))," ")</f>
        <v xml:space="preserve"> </v>
      </c>
      <c r="I28" s="15"/>
      <c r="J28" s="15"/>
      <c r="K28" s="15"/>
      <c r="L28" s="15"/>
      <c r="M28" s="15"/>
      <c r="N28" s="45" t="e">
        <f ca="1">SUM(I28:M28)+O28</f>
        <v>#VALUE!</v>
      </c>
      <c r="O28" s="47" t="e">
        <f ca="1">H28+O27</f>
        <v>#VALUE!</v>
      </c>
      <c r="P28" s="48">
        <f>SUM(B21:H21)</f>
        <v>272500</v>
      </c>
      <c r="Q28" s="48" t="e">
        <f t="shared" ca="1" si="6"/>
        <v>#VALUE!</v>
      </c>
      <c r="R28" s="48">
        <f ca="1">+R27+H35</f>
        <v>100830</v>
      </c>
    </row>
    <row r="29" spans="1:18" x14ac:dyDescent="0.2">
      <c r="A29" s="167">
        <f t="shared" si="7"/>
        <v>42948</v>
      </c>
      <c r="I29" s="46" t="str">
        <f>IF(I$1&lt;Forecast_Start_Date,INDEX(Gross_Burn_Array,MATCH(I$1,Operating_Model_Months,0))," ")</f>
        <v xml:space="preserve"> </v>
      </c>
      <c r="J29" s="15"/>
      <c r="K29" s="15"/>
      <c r="L29" s="15"/>
      <c r="M29" s="15"/>
      <c r="N29" s="45" t="e">
        <f ca="1">SUM(J29:M29)+O29</f>
        <v>#VALUE!</v>
      </c>
      <c r="O29" s="47" t="e">
        <f ca="1">I29+O28</f>
        <v>#VALUE!</v>
      </c>
      <c r="P29" s="48">
        <f>SUM(B21:I21)</f>
        <v>325000</v>
      </c>
      <c r="Q29" s="48" t="e">
        <f t="shared" ca="1" si="6"/>
        <v>#VALUE!</v>
      </c>
      <c r="R29" s="48">
        <f ca="1">+R28+I35</f>
        <v>100830</v>
      </c>
    </row>
    <row r="30" spans="1:18" x14ac:dyDescent="0.2">
      <c r="A30" s="167">
        <f t="shared" si="7"/>
        <v>42979</v>
      </c>
      <c r="J30" s="46" t="str">
        <f>IF(J$1&lt;Forecast_Start_Date,INDEX(Gross_Burn_Array,MATCH(J$1,Operating_Model_Months,0))," ")</f>
        <v xml:space="preserve"> </v>
      </c>
      <c r="K30" s="15"/>
      <c r="L30" s="15"/>
      <c r="M30" s="15"/>
      <c r="N30" s="45" t="e">
        <f ca="1">SUM(K30:M30)+O30</f>
        <v>#VALUE!</v>
      </c>
      <c r="O30" s="47" t="e">
        <f ca="1">J30+O29</f>
        <v>#VALUE!</v>
      </c>
      <c r="P30" s="48">
        <f>SUM(B21:J21)</f>
        <v>380000</v>
      </c>
      <c r="Q30" s="48" t="e">
        <f t="shared" ca="1" si="6"/>
        <v>#VALUE!</v>
      </c>
      <c r="R30" s="48">
        <f ca="1">+R29+J35</f>
        <v>100830</v>
      </c>
    </row>
    <row r="31" spans="1:18" x14ac:dyDescent="0.2">
      <c r="A31" s="167">
        <f t="shared" si="7"/>
        <v>43009</v>
      </c>
      <c r="K31" s="46" t="str">
        <f>IF(K$1&lt;Forecast_Start_Date,INDEX(Gross_Burn_Array,MATCH(K$1,Operating_Model_Months,0))," ")</f>
        <v xml:space="preserve"> </v>
      </c>
      <c r="L31" s="15"/>
      <c r="M31" s="15"/>
      <c r="N31" s="45" t="e">
        <f ca="1">SUM(L31:M31)+O31</f>
        <v>#VALUE!</v>
      </c>
      <c r="O31" s="47" t="e">
        <f ca="1">K31+O30</f>
        <v>#VALUE!</v>
      </c>
      <c r="P31" s="48">
        <f>SUM(B21:K21)</f>
        <v>437500</v>
      </c>
      <c r="Q31" s="48" t="e">
        <f t="shared" ca="1" si="6"/>
        <v>#VALUE!</v>
      </c>
      <c r="R31" s="48">
        <f ca="1">+R30+K35</f>
        <v>100830</v>
      </c>
    </row>
    <row r="32" spans="1:18" x14ac:dyDescent="0.2">
      <c r="A32" s="167">
        <f t="shared" si="7"/>
        <v>43040</v>
      </c>
      <c r="L32" s="46" t="str">
        <f>IF(L$1&lt;Forecast_Start_Date,INDEX(Gross_Burn_Array,MATCH(L$1,Operating_Model_Months,0))," ")</f>
        <v xml:space="preserve"> </v>
      </c>
      <c r="N32" s="45" t="e">
        <f ca="1">SUM(M32)+O32</f>
        <v>#VALUE!</v>
      </c>
      <c r="O32" s="47" t="e">
        <f ca="1">L32+O31</f>
        <v>#VALUE!</v>
      </c>
      <c r="P32" s="48">
        <f>SUM(B21:L21)</f>
        <v>497500</v>
      </c>
      <c r="Q32" s="48" t="e">
        <f t="shared" ca="1" si="6"/>
        <v>#VALUE!</v>
      </c>
      <c r="R32" s="48">
        <f ca="1">+R31+L35</f>
        <v>100830</v>
      </c>
    </row>
    <row r="33" spans="1:18" x14ac:dyDescent="0.2">
      <c r="A33" s="167">
        <f t="shared" si="7"/>
        <v>43070</v>
      </c>
      <c r="M33" s="46" t="str">
        <f>IF(M$1&lt;Forecast_Start_Date,INDEX(Gross_Burn_Array,MATCH(M$1,Operating_Model_Months,0))," ")</f>
        <v xml:space="preserve"> </v>
      </c>
      <c r="N33" s="45" t="e">
        <f ca="1">O33</f>
        <v>#VALUE!</v>
      </c>
      <c r="O33" s="47" t="e">
        <f ca="1">M33+O32</f>
        <v>#VALUE!</v>
      </c>
      <c r="P33" s="48">
        <f>SUM(B21:M21)</f>
        <v>560000</v>
      </c>
      <c r="Q33" s="48" t="e">
        <f t="shared" ca="1" si="6"/>
        <v>#VALUE!</v>
      </c>
      <c r="R33" s="48">
        <f ca="1">+R32+M35</f>
        <v>100830</v>
      </c>
    </row>
    <row r="34" spans="1:18" ht="14.25" x14ac:dyDescent="0.2">
      <c r="A34" s="16" t="s">
        <v>55</v>
      </c>
      <c r="B34" s="49">
        <f ca="1">INDEX(Gross_Burn_Array,MATCH(B$1,Operating_Model_Months,0))</f>
        <v>23593.333333333332</v>
      </c>
      <c r="C34" s="49">
        <f ca="1">INDEX(Gross_Burn_Array,MATCH(C$1,Operating_Model_Months,0))</f>
        <v>33676.666666666672</v>
      </c>
      <c r="D34" s="49">
        <f ca="1">INDEX(Gross_Burn_Array,MATCH(D$1,Operating_Model_Months,0))</f>
        <v>43560</v>
      </c>
      <c r="E34" s="49"/>
      <c r="F34" s="49"/>
      <c r="G34" s="49"/>
      <c r="H34" s="49"/>
      <c r="I34" s="49"/>
      <c r="J34" s="49"/>
      <c r="K34" s="49"/>
      <c r="L34" s="49"/>
      <c r="M34" s="49"/>
      <c r="R34" s="6"/>
    </row>
    <row r="35" spans="1:18" ht="14.25" x14ac:dyDescent="0.2">
      <c r="A35" s="16" t="s">
        <v>53</v>
      </c>
      <c r="B35" s="49"/>
      <c r="C35" s="50"/>
      <c r="D35" s="50">
        <f t="shared" ref="D35:M35" ca="1" si="9">INDEX(Gross_Burn_Array,MATCH(D$1,Operating_Model_Months,0))</f>
        <v>43560</v>
      </c>
      <c r="E35" s="50">
        <f t="shared" ca="1" si="9"/>
        <v>0</v>
      </c>
      <c r="F35" s="50">
        <f t="shared" ca="1" si="9"/>
        <v>0</v>
      </c>
      <c r="G35" s="50">
        <f t="shared" ca="1" si="9"/>
        <v>0</v>
      </c>
      <c r="H35" s="50">
        <f t="shared" ca="1" si="9"/>
        <v>0</v>
      </c>
      <c r="I35" s="50">
        <f t="shared" ca="1" si="9"/>
        <v>0</v>
      </c>
      <c r="J35" s="50">
        <f t="shared" ca="1" si="9"/>
        <v>0</v>
      </c>
      <c r="K35" s="50">
        <f t="shared" ca="1" si="9"/>
        <v>0</v>
      </c>
      <c r="L35" s="50">
        <f t="shared" ca="1" si="9"/>
        <v>0</v>
      </c>
      <c r="M35" s="50">
        <f t="shared" ca="1" si="9"/>
        <v>0</v>
      </c>
      <c r="N35" s="6"/>
      <c r="O35" s="6"/>
      <c r="P35" s="6"/>
      <c r="Q35" s="6"/>
      <c r="R35" s="6"/>
    </row>
    <row r="37" spans="1:18" x14ac:dyDescent="0.2">
      <c r="A37" s="98" t="s">
        <v>5</v>
      </c>
      <c r="B37" s="43">
        <v>42736</v>
      </c>
      <c r="C37" s="43">
        <f>DATE(YEAR(B37),MONTH(B37)+1,DAY(B37))</f>
        <v>42767</v>
      </c>
      <c r="D37" s="43">
        <f t="shared" ref="D37" si="10">DATE(YEAR(C37),MONTH(C37)+1,DAY(C37))</f>
        <v>42795</v>
      </c>
      <c r="E37" s="43">
        <f t="shared" ref="E37" si="11">DATE(YEAR(D37),MONTH(D37)+1,DAY(D37))</f>
        <v>42826</v>
      </c>
      <c r="F37" s="43">
        <f t="shared" ref="F37" si="12">DATE(YEAR(E37),MONTH(E37)+1,DAY(E37))</f>
        <v>42856</v>
      </c>
      <c r="G37" s="43">
        <f t="shared" ref="G37" si="13">DATE(YEAR(F37),MONTH(F37)+1,DAY(F37))</f>
        <v>42887</v>
      </c>
      <c r="H37" s="43">
        <f t="shared" ref="H37" si="14">DATE(YEAR(G37),MONTH(G37)+1,DAY(G37))</f>
        <v>42917</v>
      </c>
      <c r="I37" s="43">
        <f t="shared" ref="I37" si="15">DATE(YEAR(H37),MONTH(H37)+1,DAY(H37))</f>
        <v>42948</v>
      </c>
      <c r="J37" s="43">
        <f t="shared" ref="J37" si="16">DATE(YEAR(I37),MONTH(I37)+1,DAY(I37))</f>
        <v>42979</v>
      </c>
      <c r="K37" s="43">
        <f t="shared" ref="K37" si="17">DATE(YEAR(J37),MONTH(J37)+1,DAY(J37))</f>
        <v>43009</v>
      </c>
      <c r="L37" s="43">
        <f t="shared" ref="L37" si="18">DATE(YEAR(K37),MONTH(K37)+1,DAY(K37))</f>
        <v>43040</v>
      </c>
      <c r="M37" s="43">
        <f t="shared" ref="M37" si="19">DATE(YEAR(L37),MONTH(L37)+1,DAY(L37))</f>
        <v>43070</v>
      </c>
      <c r="N37" s="16"/>
      <c r="O37" s="16" t="s">
        <v>48</v>
      </c>
      <c r="P37" s="16" t="s">
        <v>48</v>
      </c>
      <c r="Q37" s="16" t="s">
        <v>48</v>
      </c>
      <c r="R37" s="16" t="s">
        <v>48</v>
      </c>
    </row>
    <row r="38" spans="1:18" x14ac:dyDescent="0.2">
      <c r="A38" s="166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16" t="s">
        <v>49</v>
      </c>
      <c r="O38" s="16" t="s">
        <v>50</v>
      </c>
      <c r="P38" s="16" t="s">
        <v>51</v>
      </c>
      <c r="Q38" s="16" t="s">
        <v>52</v>
      </c>
      <c r="R38" s="16" t="s">
        <v>53</v>
      </c>
    </row>
    <row r="39" spans="1:18" ht="14.25" x14ac:dyDescent="0.2">
      <c r="A39" s="16" t="s">
        <v>54</v>
      </c>
      <c r="B39" s="44">
        <v>-5000</v>
      </c>
      <c r="C39" s="44">
        <v>-6500</v>
      </c>
      <c r="D39" s="44">
        <v>-8000</v>
      </c>
      <c r="E39" s="44">
        <v>-9500</v>
      </c>
      <c r="F39" s="44">
        <v>-11000</v>
      </c>
      <c r="G39" s="44">
        <v>-10000</v>
      </c>
      <c r="H39" s="44">
        <v>-9000</v>
      </c>
      <c r="I39" s="44">
        <v>-8000</v>
      </c>
      <c r="J39" s="44">
        <v>-7000</v>
      </c>
      <c r="K39" s="44">
        <v>-6000</v>
      </c>
      <c r="L39" s="44">
        <v>-5000</v>
      </c>
      <c r="M39" s="44">
        <v>-4000</v>
      </c>
      <c r="N39" s="45">
        <f>SUM(B39:M39)+O39</f>
        <v>-89000</v>
      </c>
      <c r="R39" s="6"/>
    </row>
    <row r="40" spans="1:18" x14ac:dyDescent="0.2">
      <c r="A40" s="167">
        <f>+B37</f>
        <v>42736</v>
      </c>
      <c r="B40" s="59">
        <f ca="1">IF(B$1&lt;Forecast_Start_Date,INDEX(Net_Income_Array,MATCH(B$1,Operating_Model_Months,0))," ")</f>
        <v>-8593.3333333333321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45">
        <f ca="1">SUM(C40:M40)+O40</f>
        <v>-8593.3333333333321</v>
      </c>
      <c r="O40" s="47">
        <f ca="1">B40</f>
        <v>-8593.3333333333321</v>
      </c>
      <c r="P40" s="48">
        <f>B39</f>
        <v>-5000</v>
      </c>
      <c r="Q40" s="48">
        <f ca="1">O40-P40</f>
        <v>-3593.3333333333321</v>
      </c>
      <c r="R40" s="48"/>
    </row>
    <row r="41" spans="1:18" x14ac:dyDescent="0.2">
      <c r="A41" s="167">
        <f>DATE(YEAR(A40),MONTH(A40)+1,DAY(A40))</f>
        <v>42767</v>
      </c>
      <c r="C41" s="59">
        <f ca="1">IF(C$1&lt;Forecast_Start_Date,INDEX(Net_Income_Array,MATCH(C$1,Operating_Model_Months,0))," ")</f>
        <v>-13676.666666666668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45">
        <f ca="1">SUM(D41:M41)+O41</f>
        <v>-22270</v>
      </c>
      <c r="O41" s="47">
        <f ca="1">C41+O40</f>
        <v>-22270</v>
      </c>
      <c r="P41" s="48">
        <f>SUM(B39:C39)</f>
        <v>-11500</v>
      </c>
      <c r="Q41" s="48">
        <f t="shared" ref="Q41:Q51" ca="1" si="20">O41-P41</f>
        <v>-10770</v>
      </c>
      <c r="R41" s="48">
        <f ca="1">+O41</f>
        <v>-22270</v>
      </c>
    </row>
    <row r="42" spans="1:18" x14ac:dyDescent="0.2">
      <c r="A42" s="167">
        <f t="shared" ref="A42:A51" si="21">DATE(YEAR(A41),MONTH(A41)+1,DAY(A41))</f>
        <v>42795</v>
      </c>
      <c r="D42" s="59">
        <f ca="1">IF(D$1&lt;Forecast_Start_Date,INDEX(Net_Income_Array,MATCH(D$1,Operating_Model_Months,0))," ")</f>
        <v>-18560</v>
      </c>
      <c r="E42" s="168">
        <f t="shared" ref="E42:M42" ca="1" si="22">INDEX(Net_Income_Array,MATCH(E$1,Operating_Model_Months,0))</f>
        <v>0</v>
      </c>
      <c r="F42" s="168">
        <f t="shared" ca="1" si="22"/>
        <v>0</v>
      </c>
      <c r="G42" s="168">
        <f t="shared" ca="1" si="22"/>
        <v>0</v>
      </c>
      <c r="H42" s="168">
        <f t="shared" ca="1" si="22"/>
        <v>0</v>
      </c>
      <c r="I42" s="168">
        <f t="shared" ca="1" si="22"/>
        <v>0</v>
      </c>
      <c r="J42" s="168">
        <f t="shared" ca="1" si="22"/>
        <v>0</v>
      </c>
      <c r="K42" s="168">
        <f t="shared" ca="1" si="22"/>
        <v>0</v>
      </c>
      <c r="L42" s="168">
        <f t="shared" ca="1" si="22"/>
        <v>0</v>
      </c>
      <c r="M42" s="168">
        <f t="shared" ca="1" si="22"/>
        <v>0</v>
      </c>
      <c r="N42" s="45">
        <f ca="1">SUM(E42:M42)+O42</f>
        <v>-40830</v>
      </c>
      <c r="O42" s="47">
        <f ca="1">D42+O41</f>
        <v>-40830</v>
      </c>
      <c r="P42" s="48">
        <f>SUM(B39:D39)</f>
        <v>-19500</v>
      </c>
      <c r="Q42" s="48">
        <f t="shared" ca="1" si="20"/>
        <v>-21330</v>
      </c>
      <c r="R42" s="48">
        <f ca="1">+R41+D53</f>
        <v>-40830</v>
      </c>
    </row>
    <row r="43" spans="1:18" x14ac:dyDescent="0.2">
      <c r="A43" s="167">
        <f t="shared" si="21"/>
        <v>42826</v>
      </c>
      <c r="E43" s="59">
        <f ca="1">IF(E$1&lt;Forecast_Start_Date,INDEX(Net_Income_Array,MATCH(E$1,Operating_Model_Months,0))," ")</f>
        <v>0</v>
      </c>
      <c r="F43" s="15"/>
      <c r="G43" s="15"/>
      <c r="H43" s="15"/>
      <c r="I43" s="15"/>
      <c r="J43" s="15"/>
      <c r="K43" s="15"/>
      <c r="L43" s="15"/>
      <c r="M43" s="15"/>
      <c r="N43" s="45">
        <f ca="1">SUM(F43:M43)+O43</f>
        <v>-40830</v>
      </c>
      <c r="O43" s="47">
        <f ca="1">E43+O42</f>
        <v>-40830</v>
      </c>
      <c r="P43" s="48">
        <f>SUM(B39:E39)</f>
        <v>-29000</v>
      </c>
      <c r="Q43" s="48">
        <f t="shared" ca="1" si="20"/>
        <v>-11830</v>
      </c>
      <c r="R43" s="48">
        <f ca="1">+R42+E53</f>
        <v>-40830</v>
      </c>
    </row>
    <row r="44" spans="1:18" x14ac:dyDescent="0.2">
      <c r="A44" s="167">
        <f t="shared" si="21"/>
        <v>42856</v>
      </c>
      <c r="F44" s="59" t="str">
        <f>IF(F$1&lt;Forecast_Start_Date,INDEX(Net_Income_Array,MATCH(F$1,Operating_Model_Months,0))," ")</f>
        <v xml:space="preserve"> </v>
      </c>
      <c r="G44" s="15"/>
      <c r="H44" s="15"/>
      <c r="I44" s="15"/>
      <c r="J44" s="15"/>
      <c r="K44" s="15"/>
      <c r="L44" s="15"/>
      <c r="M44" s="15"/>
      <c r="N44" s="45" t="e">
        <f ca="1">SUM(G44:M44)+O44</f>
        <v>#VALUE!</v>
      </c>
      <c r="O44" s="47" t="e">
        <f ca="1">F44+O43</f>
        <v>#VALUE!</v>
      </c>
      <c r="P44" s="48">
        <f>SUM(B39:F39)</f>
        <v>-40000</v>
      </c>
      <c r="Q44" s="48" t="e">
        <f t="shared" ca="1" si="20"/>
        <v>#VALUE!</v>
      </c>
      <c r="R44" s="48">
        <f ca="1">+R43+F53</f>
        <v>-40830</v>
      </c>
    </row>
    <row r="45" spans="1:18" x14ac:dyDescent="0.2">
      <c r="A45" s="167">
        <f t="shared" si="21"/>
        <v>42887</v>
      </c>
      <c r="G45" s="59" t="str">
        <f>IF(G$1&lt;Forecast_Start_Date,INDEX(Net_Income_Array,MATCH(G$1,Operating_Model_Months,0))," ")</f>
        <v xml:space="preserve"> </v>
      </c>
      <c r="H45" s="15"/>
      <c r="I45" s="15"/>
      <c r="J45" s="15"/>
      <c r="K45" s="15"/>
      <c r="L45" s="15"/>
      <c r="M45" s="15"/>
      <c r="N45" s="45" t="e">
        <f ca="1">SUM(H45:M45)+O45</f>
        <v>#VALUE!</v>
      </c>
      <c r="O45" s="47" t="e">
        <f ca="1">G45+O44</f>
        <v>#VALUE!</v>
      </c>
      <c r="P45" s="48">
        <f>SUM(B39:G39)</f>
        <v>-50000</v>
      </c>
      <c r="Q45" s="48" t="e">
        <f t="shared" ca="1" si="20"/>
        <v>#VALUE!</v>
      </c>
      <c r="R45" s="48">
        <f ca="1">+R44+G53</f>
        <v>-40830</v>
      </c>
    </row>
    <row r="46" spans="1:18" x14ac:dyDescent="0.2">
      <c r="A46" s="167">
        <f t="shared" si="21"/>
        <v>42917</v>
      </c>
      <c r="H46" s="59" t="str">
        <f>IF(H$1&lt;Forecast_Start_Date,INDEX(Net_Income_Array,MATCH(H$1,Operating_Model_Months,0))," ")</f>
        <v xml:space="preserve"> </v>
      </c>
      <c r="I46" s="15"/>
      <c r="J46" s="15"/>
      <c r="K46" s="15"/>
      <c r="L46" s="15"/>
      <c r="M46" s="15"/>
      <c r="N46" s="45" t="e">
        <f ca="1">SUM(I46:M46)+O46</f>
        <v>#VALUE!</v>
      </c>
      <c r="O46" s="47" t="e">
        <f ca="1">H46+O45</f>
        <v>#VALUE!</v>
      </c>
      <c r="P46" s="48">
        <f>SUM(B39:H39)</f>
        <v>-59000</v>
      </c>
      <c r="Q46" s="48" t="e">
        <f t="shared" ca="1" si="20"/>
        <v>#VALUE!</v>
      </c>
      <c r="R46" s="48">
        <f ca="1">+R45+H53</f>
        <v>-40830</v>
      </c>
    </row>
    <row r="47" spans="1:18" x14ac:dyDescent="0.2">
      <c r="A47" s="167">
        <f t="shared" si="21"/>
        <v>42948</v>
      </c>
      <c r="I47" s="59" t="str">
        <f>IF(I$1&lt;Forecast_Start_Date,INDEX(Net_Income_Array,MATCH(I$1,Operating_Model_Months,0))," ")</f>
        <v xml:space="preserve"> </v>
      </c>
      <c r="J47" s="15"/>
      <c r="K47" s="15"/>
      <c r="L47" s="15"/>
      <c r="M47" s="15"/>
      <c r="N47" s="45" t="e">
        <f ca="1">SUM(J47:M47)+O47</f>
        <v>#VALUE!</v>
      </c>
      <c r="O47" s="47" t="e">
        <f ca="1">I47+O46</f>
        <v>#VALUE!</v>
      </c>
      <c r="P47" s="48">
        <f>SUM(B39:I39)</f>
        <v>-67000</v>
      </c>
      <c r="Q47" s="48" t="e">
        <f t="shared" ca="1" si="20"/>
        <v>#VALUE!</v>
      </c>
      <c r="R47" s="48">
        <f ca="1">+R46+I53</f>
        <v>-40830</v>
      </c>
    </row>
    <row r="48" spans="1:18" x14ac:dyDescent="0.2">
      <c r="A48" s="167">
        <f t="shared" si="21"/>
        <v>42979</v>
      </c>
      <c r="J48" s="59" t="str">
        <f>IF(J$1&lt;Forecast_Start_Date,INDEX(Net_Income_Array,MATCH(J$1,Operating_Model_Months,0))," ")</f>
        <v xml:space="preserve"> </v>
      </c>
      <c r="K48" s="15"/>
      <c r="L48" s="15"/>
      <c r="M48" s="15"/>
      <c r="N48" s="45" t="e">
        <f ca="1">SUM(K48:M48)+O48</f>
        <v>#VALUE!</v>
      </c>
      <c r="O48" s="47" t="e">
        <f ca="1">J48+O47</f>
        <v>#VALUE!</v>
      </c>
      <c r="P48" s="48">
        <f>SUM(B39:J39)</f>
        <v>-74000</v>
      </c>
      <c r="Q48" s="48" t="e">
        <f t="shared" ca="1" si="20"/>
        <v>#VALUE!</v>
      </c>
      <c r="R48" s="48">
        <f ca="1">+R47+J53</f>
        <v>-40830</v>
      </c>
    </row>
    <row r="49" spans="1:18" x14ac:dyDescent="0.2">
      <c r="A49" s="167">
        <f t="shared" si="21"/>
        <v>43009</v>
      </c>
      <c r="K49" s="59" t="str">
        <f>IF(K$1&lt;Forecast_Start_Date,INDEX(Net_Income_Array,MATCH(K$1,Operating_Model_Months,0))," ")</f>
        <v xml:space="preserve"> </v>
      </c>
      <c r="L49" s="15"/>
      <c r="M49" s="15"/>
      <c r="N49" s="45" t="e">
        <f ca="1">SUM(L49:M49)+O49</f>
        <v>#VALUE!</v>
      </c>
      <c r="O49" s="47" t="e">
        <f ca="1">K49+O48</f>
        <v>#VALUE!</v>
      </c>
      <c r="P49" s="48">
        <f>SUM(B39:K39)</f>
        <v>-80000</v>
      </c>
      <c r="Q49" s="48" t="e">
        <f t="shared" ca="1" si="20"/>
        <v>#VALUE!</v>
      </c>
      <c r="R49" s="48">
        <f ca="1">+R48+K53</f>
        <v>-40830</v>
      </c>
    </row>
    <row r="50" spans="1:18" x14ac:dyDescent="0.2">
      <c r="A50" s="167">
        <f t="shared" si="21"/>
        <v>43040</v>
      </c>
      <c r="L50" s="59" t="str">
        <f>IF(L$1&lt;Forecast_Start_Date,INDEX(Net_Income_Array,MATCH(L$1,Operating_Model_Months,0))," ")</f>
        <v xml:space="preserve"> </v>
      </c>
      <c r="N50" s="45" t="e">
        <f ca="1">SUM(M50)+O50</f>
        <v>#VALUE!</v>
      </c>
      <c r="O50" s="47" t="e">
        <f ca="1">L50+O49</f>
        <v>#VALUE!</v>
      </c>
      <c r="P50" s="48">
        <f>SUM(B39:L39)</f>
        <v>-85000</v>
      </c>
      <c r="Q50" s="48" t="e">
        <f t="shared" ca="1" si="20"/>
        <v>#VALUE!</v>
      </c>
      <c r="R50" s="48">
        <f ca="1">+R49+L53</f>
        <v>-40830</v>
      </c>
    </row>
    <row r="51" spans="1:18" x14ac:dyDescent="0.2">
      <c r="A51" s="167">
        <f t="shared" si="21"/>
        <v>43070</v>
      </c>
      <c r="M51" s="59" t="str">
        <f>IF(M$1&lt;Forecast_Start_Date,INDEX(Net_Income_Array,MATCH(M$1,Operating_Model_Months,0))," ")</f>
        <v xml:space="preserve"> </v>
      </c>
      <c r="N51" s="45" t="e">
        <f ca="1">O51</f>
        <v>#VALUE!</v>
      </c>
      <c r="O51" s="47" t="e">
        <f ca="1">M51+O50</f>
        <v>#VALUE!</v>
      </c>
      <c r="P51" s="48">
        <f>SUM(B39:M39)</f>
        <v>-89000</v>
      </c>
      <c r="Q51" s="48" t="e">
        <f t="shared" ca="1" si="20"/>
        <v>#VALUE!</v>
      </c>
      <c r="R51" s="48">
        <f ca="1">+R50+M53</f>
        <v>-40830</v>
      </c>
    </row>
    <row r="52" spans="1:18" ht="14.25" x14ac:dyDescent="0.2">
      <c r="A52" s="16" t="s">
        <v>55</v>
      </c>
      <c r="B52" s="49">
        <f ca="1">INDEX(Net_Income_Array,MATCH(B$1,Operating_Model_Months,0))</f>
        <v>-8593.3333333333321</v>
      </c>
      <c r="C52" s="49">
        <f ca="1">INDEX(Net_Income_Array,MATCH(C$1,Operating_Model_Months,0))</f>
        <v>-13676.666666666668</v>
      </c>
      <c r="D52" s="49">
        <f ca="1">INDEX(Net_Income_Array,MATCH(D$1,Operating_Model_Months,0))</f>
        <v>-18560</v>
      </c>
      <c r="E52" s="49"/>
      <c r="F52" s="49"/>
      <c r="G52" s="49"/>
      <c r="H52" s="49"/>
      <c r="I52" s="49"/>
      <c r="J52" s="49"/>
      <c r="K52" s="49"/>
      <c r="L52" s="49"/>
      <c r="M52" s="49"/>
      <c r="R52" s="6"/>
    </row>
    <row r="53" spans="1:18" ht="14.25" x14ac:dyDescent="0.2">
      <c r="A53" s="16" t="s">
        <v>53</v>
      </c>
      <c r="B53" s="49"/>
      <c r="C53" s="50"/>
      <c r="D53" s="50">
        <f t="shared" ref="D53:M53" ca="1" si="23">INDEX(Net_Income_Array,MATCH(D$1,Operating_Model_Months,0))</f>
        <v>-18560</v>
      </c>
      <c r="E53" s="50">
        <f t="shared" ca="1" si="23"/>
        <v>0</v>
      </c>
      <c r="F53" s="50">
        <f t="shared" ca="1" si="23"/>
        <v>0</v>
      </c>
      <c r="G53" s="50">
        <f t="shared" ca="1" si="23"/>
        <v>0</v>
      </c>
      <c r="H53" s="50">
        <f t="shared" ca="1" si="23"/>
        <v>0</v>
      </c>
      <c r="I53" s="50">
        <f t="shared" ca="1" si="23"/>
        <v>0</v>
      </c>
      <c r="J53" s="50">
        <f t="shared" ca="1" si="23"/>
        <v>0</v>
      </c>
      <c r="K53" s="50">
        <f t="shared" ca="1" si="23"/>
        <v>0</v>
      </c>
      <c r="L53" s="50">
        <f t="shared" ca="1" si="23"/>
        <v>0</v>
      </c>
      <c r="M53" s="50">
        <f t="shared" ca="1" si="23"/>
        <v>0</v>
      </c>
      <c r="N53" s="6"/>
      <c r="O53" s="6"/>
      <c r="P53" s="6"/>
      <c r="Q53" s="6"/>
      <c r="R53" s="6"/>
    </row>
  </sheetData>
  <conditionalFormatting sqref="G16:M16">
    <cfRule type="expression" dxfId="15" priority="1">
      <formula>G16=0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>
      <selection activeCell="B7" sqref="B7"/>
    </sheetView>
  </sheetViews>
  <sheetFormatPr defaultRowHeight="12" x14ac:dyDescent="0.2"/>
  <cols>
    <col min="1" max="1" width="27.7109375" style="13" customWidth="1"/>
    <col min="2" max="16384" width="9.140625" style="13"/>
  </cols>
  <sheetData>
    <row r="1" spans="1:2" ht="6.75" customHeight="1" x14ac:dyDescent="0.2">
      <c r="A1" s="182" t="s">
        <v>80</v>
      </c>
      <c r="B1" s="6"/>
    </row>
    <row r="2" spans="1:2" ht="18" x14ac:dyDescent="0.25">
      <c r="A2" s="182"/>
      <c r="B2" s="96"/>
    </row>
    <row r="3" spans="1:2" ht="6.75" customHeight="1" thickBot="1" x14ac:dyDescent="0.3">
      <c r="A3" s="40"/>
      <c r="B3" s="40"/>
    </row>
    <row r="4" spans="1:2" ht="6.75" customHeight="1" x14ac:dyDescent="0.2">
      <c r="A4" s="6"/>
      <c r="B4" s="6"/>
    </row>
    <row r="5" spans="1:2" ht="12.75" x14ac:dyDescent="0.2">
      <c r="A5" s="1" t="s">
        <v>73</v>
      </c>
      <c r="B5" s="36">
        <v>42736</v>
      </c>
    </row>
    <row r="6" spans="1:2" ht="12.75" x14ac:dyDescent="0.2">
      <c r="A6" s="1" t="s">
        <v>74</v>
      </c>
      <c r="B6" s="36">
        <v>42856</v>
      </c>
    </row>
    <row r="7" spans="1:2" ht="14.25" x14ac:dyDescent="0.2">
      <c r="A7" s="6"/>
      <c r="B7" s="6"/>
    </row>
    <row r="8" spans="1:2" ht="12.75" x14ac:dyDescent="0.2">
      <c r="A8" s="1" t="s">
        <v>30</v>
      </c>
      <c r="B8" s="35">
        <v>100000</v>
      </c>
    </row>
    <row r="9" spans="1:2" ht="12.75" x14ac:dyDescent="0.2">
      <c r="A9" s="1" t="s">
        <v>31</v>
      </c>
      <c r="B9" s="35">
        <v>0</v>
      </c>
    </row>
    <row r="10" spans="1:2" ht="12.75" x14ac:dyDescent="0.2">
      <c r="A10" s="1" t="s">
        <v>81</v>
      </c>
      <c r="B10" s="36">
        <v>42887</v>
      </c>
    </row>
    <row r="14" spans="1:2" x14ac:dyDescent="0.2">
      <c r="A14" s="14" t="s">
        <v>82</v>
      </c>
    </row>
    <row r="15" spans="1:2" x14ac:dyDescent="0.2">
      <c r="A15" s="55">
        <v>1</v>
      </c>
    </row>
    <row r="16" spans="1:2" x14ac:dyDescent="0.2">
      <c r="A16" s="56">
        <v>2</v>
      </c>
    </row>
    <row r="17" spans="1:1" x14ac:dyDescent="0.2">
      <c r="A17" s="57">
        <v>3</v>
      </c>
    </row>
    <row r="20" spans="1:1" x14ac:dyDescent="0.2">
      <c r="A20" s="14" t="s">
        <v>97</v>
      </c>
    </row>
    <row r="21" spans="1:1" x14ac:dyDescent="0.2">
      <c r="A21" s="57" t="s">
        <v>98</v>
      </c>
    </row>
    <row r="22" spans="1:1" x14ac:dyDescent="0.2">
      <c r="A22" s="57" t="s">
        <v>100</v>
      </c>
    </row>
    <row r="23" spans="1:1" x14ac:dyDescent="0.2">
      <c r="A23" s="57" t="s">
        <v>99</v>
      </c>
    </row>
    <row r="24" spans="1:1" x14ac:dyDescent="0.2">
      <c r="A24" s="102" t="s">
        <v>101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workbookViewId="0">
      <selection activeCell="R13" sqref="R13"/>
    </sheetView>
  </sheetViews>
  <sheetFormatPr defaultRowHeight="14.25" x14ac:dyDescent="0.2"/>
  <cols>
    <col min="1" max="1" width="2.28515625" style="6" customWidth="1"/>
    <col min="2" max="14" width="10.140625" style="6" customWidth="1"/>
    <col min="15" max="15" width="2.28515625" style="6" customWidth="1"/>
    <col min="16" max="16" width="11.28515625" style="6" bestFit="1" customWidth="1"/>
    <col min="17" max="17" width="20" style="6" customWidth="1"/>
    <col min="18" max="18" width="9.140625" style="6"/>
    <col min="19" max="21" width="14.42578125" style="6" customWidth="1"/>
    <col min="22" max="23" width="9.140625" style="6"/>
    <col min="24" max="26" width="31.140625" style="6" customWidth="1"/>
    <col min="27" max="16384" width="9.140625" style="6"/>
  </cols>
  <sheetData>
    <row r="1" spans="1:22" customFormat="1" ht="5.25" customHeight="1" x14ac:dyDescent="0.25"/>
    <row r="2" spans="1:22" ht="18" x14ac:dyDescent="0.25">
      <c r="B2" s="182" t="s">
        <v>143</v>
      </c>
      <c r="C2" s="182"/>
      <c r="D2" s="182"/>
      <c r="E2" s="182"/>
      <c r="F2" s="182"/>
      <c r="G2" s="7"/>
      <c r="H2" s="7"/>
      <c r="I2" s="7"/>
      <c r="J2" s="7"/>
      <c r="K2" s="7"/>
      <c r="L2" s="181" t="s">
        <v>9</v>
      </c>
      <c r="M2" s="181"/>
      <c r="N2" s="181"/>
    </row>
    <row r="3" spans="1:22" ht="18" x14ac:dyDescent="0.25">
      <c r="B3" s="182"/>
      <c r="C3" s="182"/>
      <c r="D3" s="182"/>
      <c r="E3" s="182"/>
      <c r="F3" s="182"/>
      <c r="G3" s="7"/>
      <c r="H3" s="7"/>
      <c r="I3" s="7"/>
      <c r="J3" s="7"/>
      <c r="K3" s="7"/>
      <c r="L3" s="181"/>
      <c r="M3" s="181"/>
      <c r="N3" s="181"/>
    </row>
    <row r="4" spans="1:22" ht="5.25" customHeight="1" thickBot="1" x14ac:dyDescent="0.3">
      <c r="A4" s="17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29</v>
      </c>
      <c r="O4" s="17"/>
      <c r="V4" s="7" t="s">
        <v>29</v>
      </c>
    </row>
    <row r="5" spans="1:22" ht="10.5" customHeight="1" x14ac:dyDescent="0.25">
      <c r="B5" s="17"/>
      <c r="V5" s="7" t="s">
        <v>29</v>
      </c>
    </row>
    <row r="6" spans="1:22" ht="14.25" customHeight="1" x14ac:dyDescent="0.2">
      <c r="B6" s="185" t="s">
        <v>172</v>
      </c>
      <c r="C6" s="179"/>
      <c r="D6" s="183" t="e">
        <f>SUMIFS(MRR_Export_New,MRR_Export_Date,"&gt;="&amp;Historicals_Start_Date,MRR_Export_Date,"&lt;"&amp;Forecast_Start_Date)/SUMIFS(Customer_Export_New_Customers,Customer_Export_Date,"&gt;="&amp;Historicals_Start_Date,Customer_Export_Date,"&lt;"&amp;Forecast_Start_Date)</f>
        <v>#DIV/0!</v>
      </c>
      <c r="E6" s="179" t="s">
        <v>110</v>
      </c>
      <c r="F6" s="179"/>
      <c r="G6" s="184" t="e">
        <f ca="1">INDEX(Churn_Array,MATCH(M$23,Revenue_Model_Months,0))</f>
        <v>#VALUE!</v>
      </c>
      <c r="I6" s="179" t="s">
        <v>137</v>
      </c>
      <c r="J6" s="179"/>
      <c r="K6" s="183" t="e">
        <f ca="1">+(D6*N27)/G6</f>
        <v>#DIV/0!</v>
      </c>
      <c r="L6" s="179" t="s">
        <v>138</v>
      </c>
      <c r="M6" s="179"/>
      <c r="N6" s="180">
        <f ca="1">INDEX(Net_Income_Array,MATCH($M$23,Operating_Model_Months,0))</f>
        <v>0</v>
      </c>
      <c r="V6" s="17"/>
    </row>
    <row r="7" spans="1:22" ht="14.25" customHeight="1" x14ac:dyDescent="0.2">
      <c r="B7" s="179"/>
      <c r="C7" s="179"/>
      <c r="D7" s="183"/>
      <c r="E7" s="179"/>
      <c r="F7" s="179"/>
      <c r="G7" s="184"/>
      <c r="I7" s="179"/>
      <c r="J7" s="179"/>
      <c r="K7" s="183"/>
      <c r="L7" s="179"/>
      <c r="M7" s="179"/>
      <c r="N7" s="180"/>
      <c r="V7" s="17"/>
    </row>
    <row r="8" spans="1:22" ht="18" x14ac:dyDescent="0.25">
      <c r="B8" s="113"/>
      <c r="C8" s="96"/>
      <c r="D8" s="96"/>
      <c r="E8" s="96"/>
      <c r="F8" s="96"/>
      <c r="G8" s="96"/>
      <c r="I8" s="114"/>
      <c r="J8" s="115"/>
      <c r="K8" s="115"/>
      <c r="L8" s="115"/>
      <c r="M8" s="115"/>
      <c r="N8" s="115"/>
      <c r="V8" s="17"/>
    </row>
    <row r="9" spans="1:22" ht="18.75" thickBot="1" x14ac:dyDescent="0.3">
      <c r="B9" s="38" t="s">
        <v>34</v>
      </c>
      <c r="C9" s="39"/>
      <c r="D9" s="39"/>
      <c r="E9" s="39"/>
      <c r="F9" s="39"/>
      <c r="G9" s="39"/>
      <c r="I9" s="109" t="s">
        <v>136</v>
      </c>
      <c r="J9" s="106"/>
      <c r="K9" s="106"/>
      <c r="L9" s="106" t="s">
        <v>133</v>
      </c>
      <c r="M9" s="106" t="s">
        <v>135</v>
      </c>
      <c r="N9" s="106" t="s">
        <v>134</v>
      </c>
      <c r="V9" s="17"/>
    </row>
    <row r="10" spans="1:22" x14ac:dyDescent="0.2">
      <c r="G10" s="17"/>
      <c r="I10" s="1" t="s">
        <v>130</v>
      </c>
      <c r="L10" s="107">
        <f>New_Customers_Base_Case+5</f>
        <v>5</v>
      </c>
      <c r="M10" s="107">
        <f>SUMIFS(Customer_Export_New_Customers,Customer_Export_Date,"&gt;="&amp;M$23,Customer_Export_Date,"&lt;="&amp;EOMONTH(M$23,0))</f>
        <v>0</v>
      </c>
      <c r="N10" s="107">
        <f>New_Customers_Base_Case-5</f>
        <v>-5</v>
      </c>
    </row>
    <row r="11" spans="1:22" x14ac:dyDescent="0.2">
      <c r="I11" s="1" t="s">
        <v>131</v>
      </c>
      <c r="L11" s="107">
        <f>Expansions_Base_Case+3</f>
        <v>3</v>
      </c>
      <c r="M11" s="107">
        <f>SUMIFS(Customer_Export_Expansions,Customer_Export_Date,"&gt;="&amp;M$23,Customer_Export_Date,"&lt;="&amp;EOMONTH(M$23,0))</f>
        <v>0</v>
      </c>
      <c r="N11" s="107">
        <f>Expansions_Base_Case-2</f>
        <v>-2</v>
      </c>
    </row>
    <row r="12" spans="1:22" x14ac:dyDescent="0.2">
      <c r="I12" s="1" t="s">
        <v>132</v>
      </c>
      <c r="L12" s="108" t="e">
        <f ca="1">Churn_Base_Case-0.01</f>
        <v>#VALUE!</v>
      </c>
      <c r="M12" s="108" t="e">
        <f ca="1">INDEX(Churn_Array,MATCH(M$23,Revenue_Model_Months,0))</f>
        <v>#VALUE!</v>
      </c>
      <c r="N12" s="108" t="e">
        <f ca="1">Churn_Base_Case+0.01</f>
        <v>#VALUE!</v>
      </c>
      <c r="P12" s="52"/>
    </row>
    <row r="13" spans="1:22" ht="15" x14ac:dyDescent="0.25">
      <c r="F13"/>
    </row>
    <row r="14" spans="1:22" x14ac:dyDescent="0.2">
      <c r="I14" s="1" t="s">
        <v>104</v>
      </c>
      <c r="L14" s="110" t="e">
        <f>New_Customer_ARPU_Base_Case+15</f>
        <v>#DIV/0!</v>
      </c>
      <c r="M14" s="110" t="e">
        <f>SUMIFS(MRR_Export_New,MRR_Export_Date,"&gt;="&amp;Historicals_Start_Date,MRR_Export_Date,"&lt;"&amp;Forecast_Start_Date)/SUMIFS(Customer_Export_New_Customers,Customer_Export_Date,"&gt;="&amp;Historicals_Start_Date,Customer_Export_Date,"&lt;"&amp;Forecast_Start_Date)</f>
        <v>#DIV/0!</v>
      </c>
      <c r="N14" s="110" t="e">
        <f>New_Customer_ARPU_Base_Case-15</f>
        <v>#DIV/0!</v>
      </c>
    </row>
    <row r="15" spans="1:22" x14ac:dyDescent="0.2">
      <c r="I15" s="1" t="s">
        <v>108</v>
      </c>
      <c r="L15" s="110" t="e">
        <f>Expansion_ARPU_Base_Case+15</f>
        <v>#DIV/0!</v>
      </c>
      <c r="M15" s="110" t="e">
        <f>SUMIFS(MRR_Export_Expansion,MRR_Export_Date,"&gt;="&amp;Historicals_Start_Date,MRR_Export_Date,"&lt;"&amp;Forecast_Start_Date)/SUMIFS(Customer_Export_Expansions,Customer_Export_Date,"&gt;="&amp;Historicals_Start_Date,Customer_Export_Date,"&lt;"&amp;Forecast_Start_Date)</f>
        <v>#DIV/0!</v>
      </c>
      <c r="N15" s="110" t="e">
        <f>Expansion_ARPU_Base_Case-15</f>
        <v>#DIV/0!</v>
      </c>
      <c r="O15" s="17"/>
    </row>
    <row r="16" spans="1:22" x14ac:dyDescent="0.2">
      <c r="I16" s="91"/>
      <c r="J16" s="91"/>
      <c r="K16" s="91"/>
      <c r="L16" s="91"/>
      <c r="M16" s="91"/>
      <c r="N16" s="92"/>
    </row>
    <row r="19" spans="2:14" ht="15" x14ac:dyDescent="0.25">
      <c r="I19" s="53" t="s">
        <v>59</v>
      </c>
      <c r="J19" s="54"/>
      <c r="K19" s="54"/>
      <c r="L19" s="177">
        <v>1</v>
      </c>
      <c r="M19" s="177"/>
      <c r="N19" s="178"/>
    </row>
    <row r="23" spans="2:14" ht="18.75" thickBot="1" x14ac:dyDescent="0.3">
      <c r="B23" s="38" t="s">
        <v>33</v>
      </c>
      <c r="C23" s="39"/>
      <c r="D23" s="39"/>
      <c r="E23" s="39"/>
      <c r="F23" s="39"/>
      <c r="G23" s="39"/>
      <c r="I23" s="41" t="s">
        <v>56</v>
      </c>
      <c r="J23" s="42"/>
      <c r="K23" s="42"/>
      <c r="L23" s="42"/>
      <c r="M23" s="94">
        <f>DATE(YEAR(Forecast_Start_Date),MONTH(Forecast_Start_Date)-1,DAY(Forecast_Start_Date))</f>
        <v>42826</v>
      </c>
      <c r="N23" s="93">
        <v>42736</v>
      </c>
    </row>
    <row r="24" spans="2:14" x14ac:dyDescent="0.2">
      <c r="I24" s="1" t="s">
        <v>57</v>
      </c>
      <c r="J24" s="1"/>
      <c r="K24" s="1"/>
      <c r="L24" s="1"/>
      <c r="M24" s="12">
        <f ca="1">SUMIFS(Total_Income,Operating_Model_Months,"&gt;="&amp;M$23,Operating_Model_Months,"&lt;"&amp;EOMONTH(M$23,0))</f>
        <v>0</v>
      </c>
      <c r="N24" s="12">
        <f ca="1">SUMIFS(Total_Income,Operating_Model_Months,"&gt;="&amp;N$23,Operating_Model_Months,"&lt;"&amp;EOMONTH(N$23,11))</f>
        <v>60000</v>
      </c>
    </row>
    <row r="25" spans="2:14" x14ac:dyDescent="0.2">
      <c r="I25" s="1" t="s">
        <v>10</v>
      </c>
      <c r="J25" s="1"/>
      <c r="K25" s="1"/>
      <c r="L25" s="1"/>
      <c r="M25" s="12">
        <f ca="1">SUMIFS(Total_Cost_of_Sales,Operating_Model_Months,"&gt;="&amp;M$23,Operating_Model_Months,"&lt;"&amp;EOMONTH(M$23,0))</f>
        <v>0</v>
      </c>
      <c r="N25" s="12">
        <f ca="1">SUMIFS(Total_Cost_of_Sales,Operating_Model_Months,"&gt;="&amp;N$23,Operating_Model_Months,"&lt;"&amp;EOMONTH(N$23,11))</f>
        <v>26220</v>
      </c>
    </row>
    <row r="26" spans="2:14" x14ac:dyDescent="0.2">
      <c r="I26" s="3" t="s">
        <v>3</v>
      </c>
      <c r="J26" s="3"/>
      <c r="K26" s="3"/>
      <c r="L26" s="3"/>
      <c r="M26" s="90">
        <f ca="1">M24-M25</f>
        <v>0</v>
      </c>
      <c r="N26" s="90">
        <f ca="1">N24-N25</f>
        <v>33780</v>
      </c>
    </row>
    <row r="27" spans="2:14" x14ac:dyDescent="0.2">
      <c r="I27" s="2" t="s">
        <v>58</v>
      </c>
      <c r="J27" s="1"/>
      <c r="K27" s="1"/>
      <c r="L27" s="1"/>
      <c r="M27" s="95" t="e">
        <f ca="1">M26/M24</f>
        <v>#DIV/0!</v>
      </c>
      <c r="N27" s="95">
        <f ca="1">N26/N24</f>
        <v>0.56299999999999994</v>
      </c>
    </row>
    <row r="28" spans="2:14" x14ac:dyDescent="0.2">
      <c r="I28" s="91" t="s">
        <v>35</v>
      </c>
      <c r="J28" s="91"/>
      <c r="K28" s="91"/>
      <c r="L28" s="91"/>
      <c r="M28" s="12">
        <f ca="1">SUMIFS(Total_Expenses,Operating_Model_Months,"&gt;="&amp;M$23,Operating_Model_Months,"&lt;"&amp;EOMONTH(M$23,0))</f>
        <v>0</v>
      </c>
      <c r="N28" s="12">
        <f ca="1">SUMIFS(Total_Expenses,Operating_Model_Months,"&gt;="&amp;N$23,Operating_Model_Months,"&lt;"&amp;EOMONTH(N$23,11))</f>
        <v>74610</v>
      </c>
    </row>
    <row r="29" spans="2:14" x14ac:dyDescent="0.2">
      <c r="I29" s="4" t="s">
        <v>5</v>
      </c>
      <c r="J29" s="4"/>
      <c r="K29" s="4"/>
      <c r="L29" s="4"/>
      <c r="M29" s="5">
        <f ca="1">M26-M28</f>
        <v>0</v>
      </c>
      <c r="N29" s="5">
        <f ca="1">N26-N28</f>
        <v>-40830</v>
      </c>
    </row>
    <row r="31" spans="2:14" x14ac:dyDescent="0.2">
      <c r="M31" s="111"/>
    </row>
    <row r="32" spans="2:14" x14ac:dyDescent="0.2">
      <c r="M32" s="112"/>
    </row>
    <row r="37" spans="2:14" ht="18.75" thickBot="1" x14ac:dyDescent="0.3">
      <c r="B37" s="38" t="s">
        <v>139</v>
      </c>
      <c r="C37" s="39"/>
      <c r="D37" s="39"/>
      <c r="E37" s="39"/>
      <c r="F37" s="39"/>
      <c r="G37" s="39"/>
      <c r="I37" s="38" t="s">
        <v>140</v>
      </c>
      <c r="J37" s="39"/>
      <c r="K37" s="39"/>
      <c r="L37" s="39"/>
      <c r="M37" s="39"/>
      <c r="N37" s="39"/>
    </row>
    <row r="52" spans="2:14" ht="18.75" thickBot="1" x14ac:dyDescent="0.3">
      <c r="B52" s="38" t="s">
        <v>141</v>
      </c>
      <c r="C52" s="39"/>
      <c r="D52" s="39"/>
      <c r="E52" s="39"/>
      <c r="F52" s="39"/>
      <c r="G52" s="39"/>
      <c r="I52" s="38" t="s">
        <v>142</v>
      </c>
      <c r="J52" s="39"/>
      <c r="K52" s="39"/>
      <c r="L52" s="39"/>
      <c r="M52" s="39"/>
      <c r="N52" s="39"/>
    </row>
    <row r="53" spans="2:14" ht="18" x14ac:dyDescent="0.25">
      <c r="B53" s="113"/>
      <c r="C53" s="96"/>
      <c r="D53" s="96"/>
      <c r="E53" s="96"/>
      <c r="F53" s="96"/>
      <c r="G53" s="96"/>
      <c r="I53" s="113"/>
      <c r="J53" s="96"/>
      <c r="K53" s="96"/>
      <c r="L53" s="96"/>
      <c r="M53" s="96"/>
      <c r="N53" s="96"/>
    </row>
  </sheetData>
  <mergeCells count="11">
    <mergeCell ref="L19:N19"/>
    <mergeCell ref="L6:M7"/>
    <mergeCell ref="N6:N7"/>
    <mergeCell ref="L2:N3"/>
    <mergeCell ref="B2:F3"/>
    <mergeCell ref="D6:D7"/>
    <mergeCell ref="G6:G7"/>
    <mergeCell ref="K6:K7"/>
    <mergeCell ref="B6:C7"/>
    <mergeCell ref="E6:F7"/>
    <mergeCell ref="I6:J7"/>
  </mergeCells>
  <conditionalFormatting sqref="L19">
    <cfRule type="expression" dxfId="14" priority="55">
      <formula>$L$19=3</formula>
    </cfRule>
    <cfRule type="expression" dxfId="13" priority="56">
      <formula>$L$19=2</formula>
    </cfRule>
    <cfRule type="expression" dxfId="12" priority="57">
      <formula>$L$19=1</formula>
    </cfRule>
  </conditionalFormatting>
  <pageMargins left="0.7" right="0.7" top="0.75" bottom="0.75" header="0.3" footer="0.3"/>
  <pageSetup scale="6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Controls!$A$15:$A$17</xm:f>
          </x14:formula1>
          <xm:sqref>L19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workbookViewId="0">
      <pane ySplit="1" topLeftCell="A2" activePane="bottomLeft" state="frozen"/>
      <selection pane="bottomLeft" activeCell="A13" sqref="A13"/>
    </sheetView>
  </sheetViews>
  <sheetFormatPr defaultRowHeight="12" x14ac:dyDescent="0.2"/>
  <cols>
    <col min="1" max="1" width="25.7109375" style="13" customWidth="1"/>
    <col min="2" max="8" width="9.140625" style="13"/>
    <col min="9" max="17" width="9.7109375" style="13" bestFit="1" customWidth="1"/>
    <col min="18" max="16384" width="9.140625" style="13"/>
  </cols>
  <sheetData>
    <row r="1" spans="1:26" ht="15" x14ac:dyDescent="0.25">
      <c r="A1" s="85" t="s">
        <v>98</v>
      </c>
      <c r="B1" s="34"/>
      <c r="C1" s="37"/>
      <c r="D1" s="37"/>
      <c r="E1" s="34"/>
      <c r="F1" s="18">
        <f>Historicals_Start_Date</f>
        <v>42736</v>
      </c>
      <c r="G1" s="18">
        <f>DATE(YEAR(F1),MONTH(F1)+1,DAY(F1))</f>
        <v>42767</v>
      </c>
      <c r="H1" s="18">
        <f t="shared" ref="H1:R1" si="0">DATE(YEAR(G1),MONTH(G1)+1,DAY(G1))</f>
        <v>42795</v>
      </c>
      <c r="I1" s="18">
        <f t="shared" si="0"/>
        <v>42826</v>
      </c>
      <c r="J1" s="18">
        <f t="shared" si="0"/>
        <v>42856</v>
      </c>
      <c r="K1" s="18">
        <f t="shared" si="0"/>
        <v>42887</v>
      </c>
      <c r="L1" s="18">
        <f t="shared" si="0"/>
        <v>42917</v>
      </c>
      <c r="M1" s="18">
        <f t="shared" si="0"/>
        <v>42948</v>
      </c>
      <c r="N1" s="18">
        <f t="shared" si="0"/>
        <v>42979</v>
      </c>
      <c r="O1" s="18">
        <f t="shared" si="0"/>
        <v>43009</v>
      </c>
      <c r="P1" s="18">
        <f t="shared" si="0"/>
        <v>43040</v>
      </c>
      <c r="Q1" s="18">
        <f t="shared" si="0"/>
        <v>43070</v>
      </c>
      <c r="R1" s="172">
        <f t="shared" si="0"/>
        <v>43101</v>
      </c>
    </row>
    <row r="2" spans="1:26" ht="15" x14ac:dyDescent="0.25">
      <c r="A2" s="164" t="s">
        <v>102</v>
      </c>
      <c r="O2" s="136"/>
      <c r="P2" s="136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x14ac:dyDescent="0.2">
      <c r="A3" s="13" t="s">
        <v>103</v>
      </c>
      <c r="F3" s="138">
        <f t="shared" ref="F3:Q3" si="1">IF(F$1&lt;Forecast_Start_Date,SUMIFS(Customer_Export_New_Customers,Customer_Export_Date,"&gt;="&amp;F$1,Customer_Export_Date,"&lt;"&amp;G$1),CHOOSE(Scenario,New_Customers_Optimistic,New_Customers_Base_Case,New_Customers_Fallback))</f>
        <v>0</v>
      </c>
      <c r="G3" s="138">
        <f t="shared" si="1"/>
        <v>0</v>
      </c>
      <c r="H3" s="138">
        <f t="shared" si="1"/>
        <v>0</v>
      </c>
      <c r="I3" s="139">
        <f t="shared" si="1"/>
        <v>0</v>
      </c>
      <c r="J3" s="139">
        <f t="shared" si="1"/>
        <v>5</v>
      </c>
      <c r="K3" s="139">
        <f t="shared" si="1"/>
        <v>5</v>
      </c>
      <c r="L3" s="139">
        <f t="shared" si="1"/>
        <v>5</v>
      </c>
      <c r="M3" s="139">
        <f t="shared" si="1"/>
        <v>5</v>
      </c>
      <c r="N3" s="139">
        <f t="shared" si="1"/>
        <v>5</v>
      </c>
      <c r="O3" s="139">
        <f t="shared" si="1"/>
        <v>5</v>
      </c>
      <c r="P3" s="139">
        <f t="shared" si="1"/>
        <v>5</v>
      </c>
      <c r="Q3" s="139">
        <f t="shared" si="1"/>
        <v>5</v>
      </c>
    </row>
    <row r="4" spans="1:26" x14ac:dyDescent="0.2">
      <c r="A4" s="13" t="s">
        <v>104</v>
      </c>
      <c r="F4" s="140" t="e">
        <f>F5/F3</f>
        <v>#DIV/0!</v>
      </c>
      <c r="G4" s="140" t="e">
        <f>G5/G3</f>
        <v>#DIV/0!</v>
      </c>
      <c r="H4" s="140" t="e">
        <f>H5/H3</f>
        <v>#DIV/0!</v>
      </c>
      <c r="I4" s="141" t="e">
        <f t="shared" ref="I4:Q4" si="2">CHOOSE(Scenario,New_Customer_ARPU_Optimistic,New_Customer_ARPU_Base_Case,New_Customer_ARPU_Fallback)</f>
        <v>#DIV/0!</v>
      </c>
      <c r="J4" s="141" t="e">
        <f t="shared" si="2"/>
        <v>#DIV/0!</v>
      </c>
      <c r="K4" s="141" t="e">
        <f t="shared" si="2"/>
        <v>#DIV/0!</v>
      </c>
      <c r="L4" s="141" t="e">
        <f t="shared" si="2"/>
        <v>#DIV/0!</v>
      </c>
      <c r="M4" s="141" t="e">
        <f t="shared" si="2"/>
        <v>#DIV/0!</v>
      </c>
      <c r="N4" s="141" t="e">
        <f t="shared" si="2"/>
        <v>#DIV/0!</v>
      </c>
      <c r="O4" s="141" t="e">
        <f t="shared" si="2"/>
        <v>#DIV/0!</v>
      </c>
      <c r="P4" s="141" t="e">
        <f t="shared" si="2"/>
        <v>#DIV/0!</v>
      </c>
      <c r="Q4" s="141" t="e">
        <f t="shared" si="2"/>
        <v>#DIV/0!</v>
      </c>
    </row>
    <row r="5" spans="1:26" x14ac:dyDescent="0.2">
      <c r="A5" s="129" t="s">
        <v>105</v>
      </c>
      <c r="B5" s="129"/>
      <c r="F5" s="142">
        <f t="shared" ref="F5:Q5" si="3">IF(F$1&lt;Forecast_Start_Date,SUMIFS(MRR_Export_New,MRR_Export_Date,"&gt;="&amp;F$1,MRR_Export_Date,"&lt;"&amp;G$1),F3*F4)</f>
        <v>0</v>
      </c>
      <c r="G5" s="142">
        <f t="shared" si="3"/>
        <v>0</v>
      </c>
      <c r="H5" s="142">
        <f t="shared" si="3"/>
        <v>0</v>
      </c>
      <c r="I5" s="143">
        <f t="shared" si="3"/>
        <v>0</v>
      </c>
      <c r="J5" s="143" t="e">
        <f t="shared" si="3"/>
        <v>#DIV/0!</v>
      </c>
      <c r="K5" s="143" t="e">
        <f t="shared" si="3"/>
        <v>#DIV/0!</v>
      </c>
      <c r="L5" s="143" t="e">
        <f t="shared" si="3"/>
        <v>#DIV/0!</v>
      </c>
      <c r="M5" s="143" t="e">
        <f t="shared" si="3"/>
        <v>#DIV/0!</v>
      </c>
      <c r="N5" s="143" t="e">
        <f t="shared" si="3"/>
        <v>#DIV/0!</v>
      </c>
      <c r="O5" s="143" t="e">
        <f t="shared" si="3"/>
        <v>#DIV/0!</v>
      </c>
      <c r="P5" s="143" t="e">
        <f t="shared" si="3"/>
        <v>#DIV/0!</v>
      </c>
      <c r="Q5" s="143" t="e">
        <f t="shared" si="3"/>
        <v>#DIV/0!</v>
      </c>
    </row>
    <row r="6" spans="1:26" x14ac:dyDescent="0.2">
      <c r="A6" s="129"/>
      <c r="B6" s="129"/>
      <c r="F6" s="16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26" ht="15" x14ac:dyDescent="0.25">
      <c r="A7" s="164" t="s">
        <v>106</v>
      </c>
      <c r="H7" s="98"/>
      <c r="I7" s="16"/>
      <c r="J7" s="16"/>
      <c r="K7" s="16"/>
      <c r="L7" s="16"/>
      <c r="M7" s="16"/>
      <c r="N7" s="16"/>
      <c r="O7" s="16"/>
      <c r="P7" s="16"/>
      <c r="Q7" s="16"/>
    </row>
    <row r="8" spans="1:26" x14ac:dyDescent="0.2">
      <c r="A8" s="13" t="s">
        <v>107</v>
      </c>
      <c r="F8" s="138">
        <f t="shared" ref="F8:Q8" si="4">IF(F$1&lt;Forecast_Start_Date,SUMIFS(Customer_Export_Expansions,Customer_Export_Date,"&gt;="&amp;F$1,Customer_Export_Date,"&lt;"&amp;G$1),CHOOSE(Scenario,Expansions_Optimistic,Expansions_Base_Case,Expansions_Fallback))</f>
        <v>0</v>
      </c>
      <c r="G8" s="138">
        <f t="shared" si="4"/>
        <v>0</v>
      </c>
      <c r="H8" s="138">
        <f t="shared" si="4"/>
        <v>0</v>
      </c>
      <c r="I8" s="139">
        <f t="shared" si="4"/>
        <v>0</v>
      </c>
      <c r="J8" s="139">
        <f t="shared" si="4"/>
        <v>3</v>
      </c>
      <c r="K8" s="139">
        <f t="shared" si="4"/>
        <v>3</v>
      </c>
      <c r="L8" s="139">
        <f t="shared" si="4"/>
        <v>3</v>
      </c>
      <c r="M8" s="139">
        <f t="shared" si="4"/>
        <v>3</v>
      </c>
      <c r="N8" s="139">
        <f t="shared" si="4"/>
        <v>3</v>
      </c>
      <c r="O8" s="139">
        <f t="shared" si="4"/>
        <v>3</v>
      </c>
      <c r="P8" s="139">
        <f t="shared" si="4"/>
        <v>3</v>
      </c>
      <c r="Q8" s="139">
        <f t="shared" si="4"/>
        <v>3</v>
      </c>
    </row>
    <row r="9" spans="1:26" x14ac:dyDescent="0.2">
      <c r="A9" s="13" t="s">
        <v>108</v>
      </c>
      <c r="F9" s="140" t="e">
        <f>F10/F8</f>
        <v>#DIV/0!</v>
      </c>
      <c r="G9" s="140" t="e">
        <f t="shared" ref="G9:H9" si="5">G10/G8</f>
        <v>#DIV/0!</v>
      </c>
      <c r="H9" s="140" t="e">
        <f t="shared" si="5"/>
        <v>#DIV/0!</v>
      </c>
      <c r="I9" s="141" t="e">
        <f t="shared" ref="I9:Q9" si="6">CHOOSE(Scenario,Expansion_ARPU_Optimistic,Expansion_ARPU_Base_Case,Expansion_ARPU_Fallback)</f>
        <v>#DIV/0!</v>
      </c>
      <c r="J9" s="141" t="e">
        <f t="shared" si="6"/>
        <v>#DIV/0!</v>
      </c>
      <c r="K9" s="141" t="e">
        <f t="shared" si="6"/>
        <v>#DIV/0!</v>
      </c>
      <c r="L9" s="141" t="e">
        <f t="shared" si="6"/>
        <v>#DIV/0!</v>
      </c>
      <c r="M9" s="141" t="e">
        <f t="shared" si="6"/>
        <v>#DIV/0!</v>
      </c>
      <c r="N9" s="141" t="e">
        <f t="shared" si="6"/>
        <v>#DIV/0!</v>
      </c>
      <c r="O9" s="141" t="e">
        <f t="shared" si="6"/>
        <v>#DIV/0!</v>
      </c>
      <c r="P9" s="141" t="e">
        <f t="shared" si="6"/>
        <v>#DIV/0!</v>
      </c>
      <c r="Q9" s="141" t="e">
        <f t="shared" si="6"/>
        <v>#DIV/0!</v>
      </c>
    </row>
    <row r="10" spans="1:26" x14ac:dyDescent="0.2">
      <c r="A10" s="13" t="s">
        <v>109</v>
      </c>
      <c r="F10" s="142">
        <f t="shared" ref="F10:Q10" si="7">IF(F$1&lt;Forecast_Start_Date,SUMIFS(MRR_Export_Expansion,MRR_Export_Date,"&gt;="&amp;F$1,MRR_Export_Date,"&lt;"&amp;G$1),F8*F9)</f>
        <v>0</v>
      </c>
      <c r="G10" s="142">
        <f t="shared" si="7"/>
        <v>0</v>
      </c>
      <c r="H10" s="142">
        <f t="shared" si="7"/>
        <v>0</v>
      </c>
      <c r="I10" s="143">
        <f t="shared" si="7"/>
        <v>0</v>
      </c>
      <c r="J10" s="143" t="e">
        <f t="shared" si="7"/>
        <v>#DIV/0!</v>
      </c>
      <c r="K10" s="143" t="e">
        <f t="shared" si="7"/>
        <v>#DIV/0!</v>
      </c>
      <c r="L10" s="143" t="e">
        <f t="shared" si="7"/>
        <v>#DIV/0!</v>
      </c>
      <c r="M10" s="143" t="e">
        <f t="shared" si="7"/>
        <v>#DIV/0!</v>
      </c>
      <c r="N10" s="143" t="e">
        <f t="shared" si="7"/>
        <v>#DIV/0!</v>
      </c>
      <c r="O10" s="143" t="e">
        <f t="shared" si="7"/>
        <v>#DIV/0!</v>
      </c>
      <c r="P10" s="143" t="e">
        <f t="shared" si="7"/>
        <v>#DIV/0!</v>
      </c>
      <c r="Q10" s="143" t="e">
        <f t="shared" si="7"/>
        <v>#DIV/0!</v>
      </c>
    </row>
    <row r="11" spans="1:26" x14ac:dyDescent="0.2">
      <c r="F11" s="142"/>
      <c r="G11" s="142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26" ht="15" x14ac:dyDescent="0.25">
      <c r="A12" s="164" t="s">
        <v>123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6" x14ac:dyDescent="0.2">
      <c r="A13" s="13" t="s">
        <v>174</v>
      </c>
      <c r="F13" s="138">
        <f t="shared" ref="F13:Q13" si="8">IF(F$1&lt;Forecast_Start_Date,SUMIFS(Customer_Export_Reactivated_Customers,Customer_Export_Date,"&gt;="&amp;F$1,Customer_Export_Date,"&lt;"&amp;G$1),0)</f>
        <v>0</v>
      </c>
      <c r="G13" s="138">
        <f t="shared" si="8"/>
        <v>0</v>
      </c>
      <c r="H13" s="138">
        <f t="shared" si="8"/>
        <v>0</v>
      </c>
      <c r="I13" s="126">
        <f t="shared" si="8"/>
        <v>0</v>
      </c>
      <c r="J13" s="126">
        <f t="shared" si="8"/>
        <v>0</v>
      </c>
      <c r="K13" s="126">
        <f t="shared" si="8"/>
        <v>0</v>
      </c>
      <c r="L13" s="126">
        <f t="shared" si="8"/>
        <v>0</v>
      </c>
      <c r="M13" s="126">
        <f t="shared" si="8"/>
        <v>0</v>
      </c>
      <c r="N13" s="126">
        <f t="shared" si="8"/>
        <v>0</v>
      </c>
      <c r="O13" s="126">
        <f t="shared" si="8"/>
        <v>0</v>
      </c>
      <c r="P13" s="126">
        <f t="shared" si="8"/>
        <v>0</v>
      </c>
      <c r="Q13" s="126">
        <f t="shared" si="8"/>
        <v>0</v>
      </c>
    </row>
    <row r="14" spans="1:26" x14ac:dyDescent="0.2">
      <c r="A14" s="13" t="s">
        <v>108</v>
      </c>
      <c r="F14" s="140" t="e">
        <f>F15/F13</f>
        <v>#DIV/0!</v>
      </c>
      <c r="G14" s="140" t="e">
        <f t="shared" ref="G14:H14" si="9">G15/G13</f>
        <v>#DIV/0!</v>
      </c>
      <c r="H14" s="140" t="e">
        <f t="shared" si="9"/>
        <v>#DIV/0!</v>
      </c>
      <c r="I14" s="141">
        <v>0</v>
      </c>
      <c r="J14" s="141">
        <f t="shared" ref="J14" si="10">I14</f>
        <v>0</v>
      </c>
      <c r="K14" s="141">
        <f t="shared" ref="K14" si="11">J14</f>
        <v>0</v>
      </c>
      <c r="L14" s="141">
        <f t="shared" ref="L14" si="12">K14</f>
        <v>0</v>
      </c>
      <c r="M14" s="141">
        <f t="shared" ref="M14" si="13">L14</f>
        <v>0</v>
      </c>
      <c r="N14" s="141">
        <f t="shared" ref="N14" si="14">M14</f>
        <v>0</v>
      </c>
      <c r="O14" s="141">
        <f t="shared" ref="O14" si="15">N14</f>
        <v>0</v>
      </c>
      <c r="P14" s="141">
        <f t="shared" ref="P14" si="16">O14</f>
        <v>0</v>
      </c>
      <c r="Q14" s="141">
        <f t="shared" ref="Q14" si="17">P14</f>
        <v>0</v>
      </c>
    </row>
    <row r="15" spans="1:26" x14ac:dyDescent="0.2">
      <c r="A15" s="13" t="s">
        <v>109</v>
      </c>
      <c r="F15" s="142">
        <f t="shared" ref="F15:Q15" si="18">IF(F$1&lt;Forecast_Start_Date,SUMIFS(MRR_Export_Reactivation,MRR_Export_Date,"&gt;="&amp;F$1,MRR_Export_Date,"&lt;"&amp;G$1),F13*F14)</f>
        <v>0</v>
      </c>
      <c r="G15" s="142">
        <f t="shared" si="18"/>
        <v>0</v>
      </c>
      <c r="H15" s="142">
        <f t="shared" si="18"/>
        <v>0</v>
      </c>
      <c r="I15" s="143">
        <f t="shared" si="18"/>
        <v>0</v>
      </c>
      <c r="J15" s="143">
        <f t="shared" si="18"/>
        <v>0</v>
      </c>
      <c r="K15" s="143">
        <f t="shared" si="18"/>
        <v>0</v>
      </c>
      <c r="L15" s="143">
        <f t="shared" si="18"/>
        <v>0</v>
      </c>
      <c r="M15" s="143">
        <f t="shared" si="18"/>
        <v>0</v>
      </c>
      <c r="N15" s="143">
        <f t="shared" si="18"/>
        <v>0</v>
      </c>
      <c r="O15" s="143">
        <f t="shared" si="18"/>
        <v>0</v>
      </c>
      <c r="P15" s="143">
        <f t="shared" si="18"/>
        <v>0</v>
      </c>
      <c r="Q15" s="143">
        <f t="shared" si="18"/>
        <v>0</v>
      </c>
    </row>
    <row r="16" spans="1:26" x14ac:dyDescent="0.2">
      <c r="F16" s="16"/>
      <c r="G16" s="16"/>
      <c r="H16" s="14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x14ac:dyDescent="0.25">
      <c r="A17" s="164" t="s">
        <v>110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3" t="s">
        <v>111</v>
      </c>
      <c r="F18" s="138">
        <f t="shared" ref="F18:Q18" si="19">IF(F$1&lt;Forecast_Start_Date,-SUMIFS(Customer_Export_Churned_Customers,Customer_Export_Date,"&gt;="&amp;F$1,Customer_Export_Date,"&lt;"&amp;G$1),E19*E$29)</f>
        <v>0</v>
      </c>
      <c r="G18" s="138">
        <f t="shared" si="19"/>
        <v>0</v>
      </c>
      <c r="H18" s="138">
        <f t="shared" si="19"/>
        <v>0</v>
      </c>
      <c r="I18" s="147">
        <f t="shared" si="19"/>
        <v>0</v>
      </c>
      <c r="J18" s="147">
        <f t="shared" ca="1" si="19"/>
        <v>0</v>
      </c>
      <c r="K18" s="147">
        <f t="shared" ca="1" si="19"/>
        <v>0</v>
      </c>
      <c r="L18" s="147">
        <f t="shared" ca="1" si="19"/>
        <v>0</v>
      </c>
      <c r="M18" s="147">
        <f t="shared" ca="1" si="19"/>
        <v>0</v>
      </c>
      <c r="N18" s="147">
        <f t="shared" ca="1" si="19"/>
        <v>0</v>
      </c>
      <c r="O18" s="147">
        <f t="shared" ca="1" si="19"/>
        <v>0</v>
      </c>
      <c r="P18" s="147">
        <f t="shared" ca="1" si="19"/>
        <v>0</v>
      </c>
      <c r="Q18" s="147">
        <f t="shared" ca="1" si="19"/>
        <v>0</v>
      </c>
    </row>
    <row r="19" spans="1:17" x14ac:dyDescent="0.2">
      <c r="A19" s="13" t="s">
        <v>112</v>
      </c>
      <c r="F19" s="140"/>
      <c r="G19" s="148" t="e">
        <f>G18/F$29</f>
        <v>#N/A</v>
      </c>
      <c r="H19" s="148" t="e">
        <f>H18/G$29</f>
        <v>#N/A</v>
      </c>
      <c r="I19" s="149" t="e">
        <f t="shared" ref="I19:Q19" ca="1" si="20">CHOOSE(Scenario,Churn_Optimistic,Churn_Base_Case,Churn_Fallback)</f>
        <v>#VALUE!</v>
      </c>
      <c r="J19" s="149" t="e">
        <f t="shared" ca="1" si="20"/>
        <v>#VALUE!</v>
      </c>
      <c r="K19" s="149" t="e">
        <f t="shared" ca="1" si="20"/>
        <v>#VALUE!</v>
      </c>
      <c r="L19" s="149" t="e">
        <f t="shared" ca="1" si="20"/>
        <v>#VALUE!</v>
      </c>
      <c r="M19" s="149" t="e">
        <f t="shared" ca="1" si="20"/>
        <v>#VALUE!</v>
      </c>
      <c r="N19" s="149" t="e">
        <f t="shared" ca="1" si="20"/>
        <v>#VALUE!</v>
      </c>
      <c r="O19" s="149" t="e">
        <f t="shared" ca="1" si="20"/>
        <v>#VALUE!</v>
      </c>
      <c r="P19" s="149" t="e">
        <f t="shared" ca="1" si="20"/>
        <v>#VALUE!</v>
      </c>
      <c r="Q19" s="149" t="e">
        <f t="shared" ca="1" si="20"/>
        <v>#VALUE!</v>
      </c>
    </row>
    <row r="20" spans="1:17" x14ac:dyDescent="0.2">
      <c r="A20" s="13" t="s">
        <v>113</v>
      </c>
      <c r="F20" s="150" t="e">
        <f>F21/F18</f>
        <v>#DIV/0!</v>
      </c>
      <c r="G20" s="150" t="e">
        <f>G21/G18</f>
        <v>#DIV/0!</v>
      </c>
      <c r="H20" s="150" t="e">
        <f>H21/H18</f>
        <v>#DIV/0!</v>
      </c>
      <c r="I20" s="151" t="e">
        <f>H20</f>
        <v>#DIV/0!</v>
      </c>
      <c r="J20" s="151" t="e">
        <f t="shared" ref="J20:Q20" si="21">I20</f>
        <v>#DIV/0!</v>
      </c>
      <c r="K20" s="151" t="e">
        <f t="shared" si="21"/>
        <v>#DIV/0!</v>
      </c>
      <c r="L20" s="151" t="e">
        <f t="shared" si="21"/>
        <v>#DIV/0!</v>
      </c>
      <c r="M20" s="151" t="e">
        <f t="shared" si="21"/>
        <v>#DIV/0!</v>
      </c>
      <c r="N20" s="151" t="e">
        <f t="shared" si="21"/>
        <v>#DIV/0!</v>
      </c>
      <c r="O20" s="151" t="e">
        <f t="shared" si="21"/>
        <v>#DIV/0!</v>
      </c>
      <c r="P20" s="151" t="e">
        <f t="shared" si="21"/>
        <v>#DIV/0!</v>
      </c>
      <c r="Q20" s="151" t="e">
        <f t="shared" si="21"/>
        <v>#DIV/0!</v>
      </c>
    </row>
    <row r="21" spans="1:17" x14ac:dyDescent="0.2">
      <c r="A21" s="13" t="s">
        <v>114</v>
      </c>
      <c r="F21" s="152">
        <f t="shared" ref="F21:H21" si="22">IF(F$1&lt;Forecast_Start_Date,SUMIFS(MRR_Export_Churn,MRR_Export_Date,"&gt;="&amp;F$1,MRR_Export_Date,"&lt;"&amp;G$1),F19*F20)</f>
        <v>0</v>
      </c>
      <c r="G21" s="152">
        <f t="shared" si="22"/>
        <v>0</v>
      </c>
      <c r="H21" s="152">
        <f t="shared" si="22"/>
        <v>0</v>
      </c>
      <c r="I21" s="150">
        <f t="shared" ref="I21:Q21" si="23">IF(I$1&lt;Forecast_Start_Date,SUMIFS(MRR_Export_Churn,MRR_Export_Date,"&gt;="&amp;I$1,MRR_Export_Date,"&lt;"&amp;J$1),I18*I20)</f>
        <v>0</v>
      </c>
      <c r="J21" s="150">
        <f t="shared" ca="1" si="23"/>
        <v>0</v>
      </c>
      <c r="K21" s="150">
        <f t="shared" ca="1" si="23"/>
        <v>0</v>
      </c>
      <c r="L21" s="150">
        <f t="shared" ca="1" si="23"/>
        <v>0</v>
      </c>
      <c r="M21" s="150">
        <f t="shared" ca="1" si="23"/>
        <v>0</v>
      </c>
      <c r="N21" s="150">
        <f t="shared" ca="1" si="23"/>
        <v>0</v>
      </c>
      <c r="O21" s="150">
        <f t="shared" ca="1" si="23"/>
        <v>0</v>
      </c>
      <c r="P21" s="150">
        <f t="shared" ca="1" si="23"/>
        <v>0</v>
      </c>
      <c r="Q21" s="150">
        <f t="shared" ca="1" si="23"/>
        <v>0</v>
      </c>
    </row>
    <row r="22" spans="1:17" x14ac:dyDescent="0.2"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 x14ac:dyDescent="0.25">
      <c r="A23" s="164" t="s">
        <v>115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">
      <c r="A24" s="13" t="s">
        <v>116</v>
      </c>
      <c r="F24" s="138">
        <f t="shared" ref="F24:Q24" si="24">IF(F$1&lt;Forecast_Start_Date,-SUMIFS(Customer_Export_Contractions,Customer_Export_Date,"&gt;="&amp;F$1,Customer_Export_Date,"&lt;"&amp;G$1),E25*E$29)</f>
        <v>0</v>
      </c>
      <c r="G24" s="138">
        <f t="shared" si="24"/>
        <v>0</v>
      </c>
      <c r="H24" s="138">
        <f t="shared" si="24"/>
        <v>0</v>
      </c>
      <c r="I24" s="147">
        <f t="shared" si="24"/>
        <v>0</v>
      </c>
      <c r="J24" s="147" t="e">
        <f t="shared" si="24"/>
        <v>#N/A</v>
      </c>
      <c r="K24" s="147">
        <f t="shared" ca="1" si="24"/>
        <v>0</v>
      </c>
      <c r="L24" s="147">
        <f t="shared" ca="1" si="24"/>
        <v>0</v>
      </c>
      <c r="M24" s="147">
        <f t="shared" ca="1" si="24"/>
        <v>0</v>
      </c>
      <c r="N24" s="147">
        <f t="shared" ca="1" si="24"/>
        <v>0</v>
      </c>
      <c r="O24" s="147">
        <f t="shared" ca="1" si="24"/>
        <v>0</v>
      </c>
      <c r="P24" s="147">
        <f t="shared" ca="1" si="24"/>
        <v>0</v>
      </c>
      <c r="Q24" s="147">
        <f t="shared" ca="1" si="24"/>
        <v>0</v>
      </c>
    </row>
    <row r="25" spans="1:17" x14ac:dyDescent="0.2">
      <c r="A25" s="13" t="s">
        <v>117</v>
      </c>
      <c r="F25" s="153"/>
      <c r="G25" s="153" t="e">
        <f>G24/F$29</f>
        <v>#N/A</v>
      </c>
      <c r="H25" s="153" t="e">
        <f>H24/G$29</f>
        <v>#N/A</v>
      </c>
      <c r="I25" s="149" t="e">
        <f t="shared" ref="I25:Q26" si="25">H25</f>
        <v>#N/A</v>
      </c>
      <c r="J25" s="149" t="e">
        <f t="shared" si="25"/>
        <v>#N/A</v>
      </c>
      <c r="K25" s="149" t="e">
        <f t="shared" si="25"/>
        <v>#N/A</v>
      </c>
      <c r="L25" s="149" t="e">
        <f t="shared" si="25"/>
        <v>#N/A</v>
      </c>
      <c r="M25" s="149" t="e">
        <f t="shared" si="25"/>
        <v>#N/A</v>
      </c>
      <c r="N25" s="149" t="e">
        <f t="shared" si="25"/>
        <v>#N/A</v>
      </c>
      <c r="O25" s="149" t="e">
        <f t="shared" si="25"/>
        <v>#N/A</v>
      </c>
      <c r="P25" s="149" t="e">
        <f t="shared" si="25"/>
        <v>#N/A</v>
      </c>
      <c r="Q25" s="149" t="e">
        <f t="shared" si="25"/>
        <v>#N/A</v>
      </c>
    </row>
    <row r="26" spans="1:17" x14ac:dyDescent="0.2">
      <c r="A26" s="13" t="s">
        <v>118</v>
      </c>
      <c r="F26" s="154" t="e">
        <f>F27/F24</f>
        <v>#DIV/0!</v>
      </c>
      <c r="G26" s="154" t="e">
        <f>G27/G24</f>
        <v>#DIV/0!</v>
      </c>
      <c r="H26" s="154" t="e">
        <f>H27/H24</f>
        <v>#DIV/0!</v>
      </c>
      <c r="I26" s="126" t="e">
        <f>H26</f>
        <v>#DIV/0!</v>
      </c>
      <c r="J26" s="126" t="e">
        <f t="shared" si="25"/>
        <v>#DIV/0!</v>
      </c>
      <c r="K26" s="126" t="e">
        <f t="shared" si="25"/>
        <v>#DIV/0!</v>
      </c>
      <c r="L26" s="126" t="e">
        <f t="shared" si="25"/>
        <v>#DIV/0!</v>
      </c>
      <c r="M26" s="126" t="e">
        <f t="shared" si="25"/>
        <v>#DIV/0!</v>
      </c>
      <c r="N26" s="126" t="e">
        <f t="shared" si="25"/>
        <v>#DIV/0!</v>
      </c>
      <c r="O26" s="126" t="e">
        <f t="shared" si="25"/>
        <v>#DIV/0!</v>
      </c>
      <c r="P26" s="126" t="e">
        <f t="shared" si="25"/>
        <v>#DIV/0!</v>
      </c>
      <c r="Q26" s="126" t="e">
        <f t="shared" si="25"/>
        <v>#DIV/0!</v>
      </c>
    </row>
    <row r="27" spans="1:17" x14ac:dyDescent="0.2">
      <c r="A27" s="13" t="s">
        <v>119</v>
      </c>
      <c r="F27" s="152">
        <f t="shared" ref="F27:Q27" si="26">IF(F$1&lt;Forecast_Start_Date,SUMIFS(MRR_Export_Contraction,MRR_Export_Date,"&gt;="&amp;F$1,MRR_Export_Date,"&lt;"&amp;G$1),F25*F26)</f>
        <v>0</v>
      </c>
      <c r="G27" s="152">
        <f t="shared" si="26"/>
        <v>0</v>
      </c>
      <c r="H27" s="152">
        <f t="shared" si="26"/>
        <v>0</v>
      </c>
      <c r="I27" s="150">
        <f t="shared" si="26"/>
        <v>0</v>
      </c>
      <c r="J27" s="150" t="e">
        <f t="shared" si="26"/>
        <v>#N/A</v>
      </c>
      <c r="K27" s="150" t="e">
        <f t="shared" si="26"/>
        <v>#N/A</v>
      </c>
      <c r="L27" s="150" t="e">
        <f t="shared" si="26"/>
        <v>#N/A</v>
      </c>
      <c r="M27" s="150" t="e">
        <f t="shared" si="26"/>
        <v>#N/A</v>
      </c>
      <c r="N27" s="150" t="e">
        <f t="shared" si="26"/>
        <v>#N/A</v>
      </c>
      <c r="O27" s="150" t="e">
        <f t="shared" si="26"/>
        <v>#N/A</v>
      </c>
      <c r="P27" s="150" t="e">
        <f t="shared" si="26"/>
        <v>#N/A</v>
      </c>
      <c r="Q27" s="150" t="e">
        <f t="shared" si="26"/>
        <v>#N/A</v>
      </c>
    </row>
    <row r="28" spans="1:17" x14ac:dyDescent="0.2"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">
      <c r="A29" s="13" t="s">
        <v>120</v>
      </c>
      <c r="F29" s="138" t="e">
        <f t="shared" ref="F29:Q29" si="27">IF(F$1&lt;Forecast_Start_Date,INDEX(Customer_Export_Total_Customers,MATCH(EOMONTH(F$1,0),Customer_Export_Date,0)),E29+F3-F18)</f>
        <v>#N/A</v>
      </c>
      <c r="G29" s="138" t="e">
        <f t="shared" si="27"/>
        <v>#N/A</v>
      </c>
      <c r="H29" s="138" t="e">
        <f t="shared" si="27"/>
        <v>#N/A</v>
      </c>
      <c r="I29" s="155" t="e">
        <f t="shared" si="27"/>
        <v>#N/A</v>
      </c>
      <c r="J29" s="155" t="e">
        <f t="shared" ca="1" si="27"/>
        <v>#N/A</v>
      </c>
      <c r="K29" s="155" t="e">
        <f t="shared" ca="1" si="27"/>
        <v>#N/A</v>
      </c>
      <c r="L29" s="155" t="e">
        <f t="shared" ca="1" si="27"/>
        <v>#N/A</v>
      </c>
      <c r="M29" s="155" t="e">
        <f t="shared" ca="1" si="27"/>
        <v>#N/A</v>
      </c>
      <c r="N29" s="155" t="e">
        <f t="shared" ca="1" si="27"/>
        <v>#N/A</v>
      </c>
      <c r="O29" s="155" t="e">
        <f t="shared" ca="1" si="27"/>
        <v>#N/A</v>
      </c>
      <c r="P29" s="155" t="e">
        <f t="shared" ca="1" si="27"/>
        <v>#N/A</v>
      </c>
      <c r="Q29" s="155" t="e">
        <f t="shared" ca="1" si="27"/>
        <v>#N/A</v>
      </c>
    </row>
    <row r="30" spans="1:17" x14ac:dyDescent="0.2">
      <c r="A30" s="13" t="s">
        <v>121</v>
      </c>
      <c r="F30" s="154">
        <f t="shared" ref="F30:H30" si="28">F21+F15+F10+F27</f>
        <v>0</v>
      </c>
      <c r="G30" s="154">
        <f t="shared" si="28"/>
        <v>0</v>
      </c>
      <c r="H30" s="154">
        <f t="shared" si="28"/>
        <v>0</v>
      </c>
      <c r="I30" s="154">
        <f>I21+I15+I10+I27</f>
        <v>0</v>
      </c>
      <c r="J30" s="154">
        <f t="shared" ref="J30:Q30" ca="1" si="29">J21+J15+J10+J27</f>
        <v>0</v>
      </c>
      <c r="K30" s="154">
        <f t="shared" ca="1" si="29"/>
        <v>0</v>
      </c>
      <c r="L30" s="154">
        <f t="shared" ca="1" si="29"/>
        <v>0</v>
      </c>
      <c r="M30" s="154">
        <f t="shared" ca="1" si="29"/>
        <v>0</v>
      </c>
      <c r="N30" s="154">
        <f t="shared" ca="1" si="29"/>
        <v>0</v>
      </c>
      <c r="O30" s="154">
        <f t="shared" ca="1" si="29"/>
        <v>0</v>
      </c>
      <c r="P30" s="154">
        <f t="shared" ca="1" si="29"/>
        <v>0</v>
      </c>
      <c r="Q30" s="154">
        <f t="shared" ca="1" si="29"/>
        <v>0</v>
      </c>
    </row>
    <row r="31" spans="1:17" x14ac:dyDescent="0.2">
      <c r="A31" s="13" t="s">
        <v>122</v>
      </c>
      <c r="F31" s="156"/>
      <c r="G31" s="148" t="str">
        <f>IFERROR(-G30/F35," ")</f>
        <v xml:space="preserve"> </v>
      </c>
      <c r="H31" s="148" t="str">
        <f t="shared" ref="H31:Q31" si="30">IFERROR(-H30/G35," ")</f>
        <v xml:space="preserve"> </v>
      </c>
      <c r="I31" s="148" t="str">
        <f t="shared" si="30"/>
        <v xml:space="preserve"> </v>
      </c>
      <c r="J31" s="148" t="str">
        <f t="shared" ca="1" si="30"/>
        <v xml:space="preserve"> </v>
      </c>
      <c r="K31" s="148" t="str">
        <f t="shared" ca="1" si="30"/>
        <v xml:space="preserve"> </v>
      </c>
      <c r="L31" s="148" t="str">
        <f t="shared" ca="1" si="30"/>
        <v xml:space="preserve"> </v>
      </c>
      <c r="M31" s="148" t="str">
        <f t="shared" ca="1" si="30"/>
        <v xml:space="preserve"> </v>
      </c>
      <c r="N31" s="148" t="str">
        <f t="shared" ca="1" si="30"/>
        <v xml:space="preserve"> </v>
      </c>
      <c r="O31" s="148" t="str">
        <f t="shared" ca="1" si="30"/>
        <v xml:space="preserve"> </v>
      </c>
      <c r="P31" s="148" t="str">
        <f t="shared" ca="1" si="30"/>
        <v xml:space="preserve"> </v>
      </c>
      <c r="Q31" s="148" t="str">
        <f t="shared" ca="1" si="30"/>
        <v xml:space="preserve"> </v>
      </c>
    </row>
    <row r="32" spans="1:17" x14ac:dyDescent="0.2"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26" x14ac:dyDescent="0.2">
      <c r="A33" s="13" t="s">
        <v>124</v>
      </c>
      <c r="F33" s="171">
        <f>F5+F10+F15+F21+F27</f>
        <v>0</v>
      </c>
      <c r="G33" s="171">
        <f t="shared" ref="G33:Q33" si="31">G5+G10+G15+G21+G27</f>
        <v>0</v>
      </c>
      <c r="H33" s="171">
        <f t="shared" si="31"/>
        <v>0</v>
      </c>
      <c r="I33" s="171">
        <f t="shared" si="31"/>
        <v>0</v>
      </c>
      <c r="J33" s="171">
        <f t="shared" ca="1" si="31"/>
        <v>0</v>
      </c>
      <c r="K33" s="171">
        <f t="shared" ca="1" si="31"/>
        <v>0</v>
      </c>
      <c r="L33" s="171">
        <f t="shared" ca="1" si="31"/>
        <v>0</v>
      </c>
      <c r="M33" s="171">
        <f t="shared" ca="1" si="31"/>
        <v>0</v>
      </c>
      <c r="N33" s="171">
        <f t="shared" ca="1" si="31"/>
        <v>0</v>
      </c>
      <c r="O33" s="171">
        <f t="shared" ca="1" si="31"/>
        <v>0</v>
      </c>
      <c r="P33" s="171">
        <f t="shared" ca="1" si="31"/>
        <v>0</v>
      </c>
      <c r="Q33" s="171">
        <f t="shared" ca="1" si="31"/>
        <v>0</v>
      </c>
    </row>
    <row r="34" spans="1:26" x14ac:dyDescent="0.2">
      <c r="A34" s="13" t="s">
        <v>155</v>
      </c>
      <c r="F34" s="171">
        <f t="shared" ref="F34:Q34" si="32">IF(F$1=Forecast_Start_Date,SUMIFS(Forecast_Export_Monthly,Forecast_Export_Date,"&gt;="&amp;F$1,Forecast_Export_Date,"&lt;"&amp;G$1),0)</f>
        <v>0</v>
      </c>
      <c r="G34" s="171">
        <f t="shared" si="32"/>
        <v>0</v>
      </c>
      <c r="H34" s="171">
        <f t="shared" si="32"/>
        <v>0</v>
      </c>
      <c r="I34" s="171">
        <f t="shared" si="32"/>
        <v>0</v>
      </c>
      <c r="J34" s="171">
        <f t="shared" si="32"/>
        <v>0</v>
      </c>
      <c r="K34" s="171">
        <f t="shared" si="32"/>
        <v>0</v>
      </c>
      <c r="L34" s="171">
        <f t="shared" si="32"/>
        <v>0</v>
      </c>
      <c r="M34" s="171">
        <f t="shared" si="32"/>
        <v>0</v>
      </c>
      <c r="N34" s="171">
        <f t="shared" si="32"/>
        <v>0</v>
      </c>
      <c r="O34" s="171">
        <f t="shared" si="32"/>
        <v>0</v>
      </c>
      <c r="P34" s="171">
        <f t="shared" si="32"/>
        <v>0</v>
      </c>
      <c r="Q34" s="171">
        <f t="shared" si="32"/>
        <v>0</v>
      </c>
    </row>
    <row r="35" spans="1:26" s="104" customFormat="1" x14ac:dyDescent="0.2">
      <c r="A35" s="159" t="s">
        <v>126</v>
      </c>
      <c r="B35" s="159"/>
      <c r="C35" s="159"/>
      <c r="D35" s="159"/>
      <c r="E35" s="160"/>
      <c r="F35" s="165">
        <f t="shared" ref="F35:Q35" si="33">IF(F$1&gt;=Forecast_Start_Date,SUM(F33:F34,E35),0)</f>
        <v>0</v>
      </c>
      <c r="G35" s="165">
        <f t="shared" si="33"/>
        <v>0</v>
      </c>
      <c r="H35" s="165">
        <f t="shared" si="33"/>
        <v>0</v>
      </c>
      <c r="I35" s="165">
        <f t="shared" si="33"/>
        <v>0</v>
      </c>
      <c r="J35" s="165">
        <f t="shared" ca="1" si="33"/>
        <v>0</v>
      </c>
      <c r="K35" s="165">
        <f t="shared" ca="1" si="33"/>
        <v>0</v>
      </c>
      <c r="L35" s="165">
        <f t="shared" ca="1" si="33"/>
        <v>0</v>
      </c>
      <c r="M35" s="165">
        <f t="shared" ca="1" si="33"/>
        <v>0</v>
      </c>
      <c r="N35" s="165">
        <f t="shared" ca="1" si="33"/>
        <v>0</v>
      </c>
      <c r="O35" s="165">
        <f t="shared" ca="1" si="33"/>
        <v>0</v>
      </c>
      <c r="P35" s="165">
        <f t="shared" ca="1" si="33"/>
        <v>0</v>
      </c>
      <c r="Q35" s="165">
        <f t="shared" ca="1" si="33"/>
        <v>0</v>
      </c>
    </row>
    <row r="36" spans="1:26" x14ac:dyDescent="0.2">
      <c r="A36" s="13" t="s">
        <v>157</v>
      </c>
      <c r="D36" s="140"/>
      <c r="E36" s="140"/>
      <c r="F36" s="171">
        <f t="shared" ref="F36:Q36" si="34">IF(F$1&gt;=Forecast_Start_Date,F35/F29,0)</f>
        <v>0</v>
      </c>
      <c r="G36" s="171">
        <f t="shared" si="34"/>
        <v>0</v>
      </c>
      <c r="H36" s="171">
        <f t="shared" si="34"/>
        <v>0</v>
      </c>
      <c r="I36" s="171">
        <f t="shared" si="34"/>
        <v>0</v>
      </c>
      <c r="J36" s="171">
        <f t="shared" ca="1" si="34"/>
        <v>0</v>
      </c>
      <c r="K36" s="171">
        <f t="shared" ca="1" si="34"/>
        <v>0</v>
      </c>
      <c r="L36" s="171">
        <f t="shared" ca="1" si="34"/>
        <v>0</v>
      </c>
      <c r="M36" s="171">
        <f t="shared" ca="1" si="34"/>
        <v>0</v>
      </c>
      <c r="N36" s="171">
        <f t="shared" ca="1" si="34"/>
        <v>0</v>
      </c>
      <c r="O36" s="171">
        <f t="shared" ca="1" si="34"/>
        <v>0</v>
      </c>
      <c r="P36" s="171">
        <f t="shared" ca="1" si="34"/>
        <v>0</v>
      </c>
      <c r="Q36" s="171">
        <f t="shared" ca="1" si="34"/>
        <v>0</v>
      </c>
      <c r="R36" s="140"/>
      <c r="S36" s="140"/>
      <c r="T36" s="140"/>
      <c r="U36" s="140"/>
      <c r="V36" s="140"/>
      <c r="W36" s="140"/>
      <c r="X36" s="140"/>
      <c r="Y36" s="140"/>
      <c r="Z36" s="140"/>
    </row>
    <row r="38" spans="1:26" x14ac:dyDescent="0.2">
      <c r="A38" s="13" t="s">
        <v>156</v>
      </c>
      <c r="I38" s="157">
        <f t="shared" ref="I38:Q38" si="35">SUMIFS(Forecast_Export_Yearly,Forecast_Export_Date,"&gt;="&amp;I$1,Forecast_Export_Date,"&lt;"&amp;J$1)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t="shared" si="35"/>
        <v>0</v>
      </c>
      <c r="Q38" s="157">
        <f t="shared" si="35"/>
        <v>0</v>
      </c>
    </row>
    <row r="39" spans="1:26" s="105" customFormat="1" x14ac:dyDescent="0.2">
      <c r="A39" s="13" t="s">
        <v>127</v>
      </c>
      <c r="E39" s="13"/>
      <c r="F39" s="13"/>
      <c r="G39" s="13"/>
      <c r="H39" s="13"/>
      <c r="I39" s="149">
        <v>0.15</v>
      </c>
      <c r="J39" s="149">
        <v>0.15</v>
      </c>
      <c r="K39" s="149">
        <v>0.15</v>
      </c>
      <c r="L39" s="149">
        <v>0.15</v>
      </c>
      <c r="M39" s="149">
        <v>0.15</v>
      </c>
      <c r="N39" s="149">
        <v>0.15</v>
      </c>
      <c r="O39" s="149">
        <v>0.15</v>
      </c>
      <c r="P39" s="149">
        <v>0.15</v>
      </c>
      <c r="Q39" s="149">
        <v>0.15</v>
      </c>
    </row>
    <row r="40" spans="1:26" s="104" customFormat="1" x14ac:dyDescent="0.2">
      <c r="A40" s="159" t="s">
        <v>154</v>
      </c>
      <c r="B40" s="159"/>
      <c r="C40" s="159"/>
      <c r="D40" s="159"/>
      <c r="E40" s="160"/>
      <c r="F40" s="161">
        <f>+F38*(1-F39)</f>
        <v>0</v>
      </c>
      <c r="G40" s="161">
        <f t="shared" ref="G40:Q40" si="36">+G38*(1-G39)</f>
        <v>0</v>
      </c>
      <c r="H40" s="161">
        <f t="shared" si="36"/>
        <v>0</v>
      </c>
      <c r="I40" s="161">
        <f t="shared" si="36"/>
        <v>0</v>
      </c>
      <c r="J40" s="161">
        <f t="shared" si="36"/>
        <v>0</v>
      </c>
      <c r="K40" s="161">
        <f t="shared" si="36"/>
        <v>0</v>
      </c>
      <c r="L40" s="161">
        <f t="shared" si="36"/>
        <v>0</v>
      </c>
      <c r="M40" s="161">
        <f t="shared" si="36"/>
        <v>0</v>
      </c>
      <c r="N40" s="161">
        <f t="shared" si="36"/>
        <v>0</v>
      </c>
      <c r="O40" s="161">
        <f t="shared" si="36"/>
        <v>0</v>
      </c>
      <c r="P40" s="161">
        <f t="shared" si="36"/>
        <v>0</v>
      </c>
      <c r="Q40" s="161">
        <f t="shared" si="36"/>
        <v>0</v>
      </c>
    </row>
    <row r="41" spans="1:26" s="105" customFormat="1" x14ac:dyDescent="0.2"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26" x14ac:dyDescent="0.2">
      <c r="A42" s="158" t="s">
        <v>125</v>
      </c>
      <c r="B42" s="158"/>
      <c r="C42" s="158"/>
      <c r="D42" s="158"/>
      <c r="E42" s="158"/>
      <c r="F42" s="163">
        <f t="shared" ref="F42:Q42" si="37">+F35+F40</f>
        <v>0</v>
      </c>
      <c r="G42" s="163">
        <f t="shared" si="37"/>
        <v>0</v>
      </c>
      <c r="H42" s="163">
        <f t="shared" si="37"/>
        <v>0</v>
      </c>
      <c r="I42" s="163">
        <f t="shared" si="37"/>
        <v>0</v>
      </c>
      <c r="J42" s="163">
        <f t="shared" ca="1" si="37"/>
        <v>0</v>
      </c>
      <c r="K42" s="163">
        <f t="shared" ca="1" si="37"/>
        <v>0</v>
      </c>
      <c r="L42" s="163">
        <f t="shared" ca="1" si="37"/>
        <v>0</v>
      </c>
      <c r="M42" s="163">
        <f t="shared" ca="1" si="37"/>
        <v>0</v>
      </c>
      <c r="N42" s="163">
        <f t="shared" ca="1" si="37"/>
        <v>0</v>
      </c>
      <c r="O42" s="163">
        <f t="shared" ca="1" si="37"/>
        <v>0</v>
      </c>
      <c r="P42" s="163">
        <f t="shared" ca="1" si="37"/>
        <v>0</v>
      </c>
      <c r="Q42" s="163">
        <f t="shared" ca="1" si="37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tabSelected="1" workbookViewId="0">
      <pane ySplit="5" topLeftCell="A6" activePane="bottomLeft" state="frozen"/>
      <selection pane="bottomLeft" activeCell="J19" sqref="J19"/>
    </sheetView>
  </sheetViews>
  <sheetFormatPr defaultRowHeight="12" outlineLevelRow="2" x14ac:dyDescent="0.2"/>
  <cols>
    <col min="1" max="1" width="74.7109375" style="13" customWidth="1"/>
    <col min="2" max="2" width="9.28515625" style="67" customWidth="1"/>
    <col min="3" max="3" width="20.85546875" style="66" customWidth="1"/>
    <col min="4" max="4" width="9.28515625" style="66" customWidth="1"/>
    <col min="5" max="5" width="9.28515625" style="67" customWidth="1"/>
    <col min="6" max="15" width="10.7109375" style="68" customWidth="1"/>
    <col min="16" max="17" width="10.7109375" style="69" customWidth="1"/>
    <col min="18" max="16384" width="9.140625" style="13"/>
  </cols>
  <sheetData>
    <row r="1" spans="1:17" hidden="1" outlineLevel="1" x14ac:dyDescent="0.2">
      <c r="F1" s="68" t="str">
        <f>'Profit and Loss Export'!B1</f>
        <v>PnL_Jan_2017</v>
      </c>
      <c r="G1" s="68" t="str">
        <f>'Profit and Loss Export'!C1</f>
        <v>PnL_Feb_2017</v>
      </c>
      <c r="H1" s="68" t="str">
        <f>'Profit and Loss Export'!D1</f>
        <v>PnL_Mar_2017</v>
      </c>
      <c r="I1" s="68" t="str">
        <f>'Profit and Loss Export'!E1</f>
        <v>PnL_Apr_2017</v>
      </c>
      <c r="J1" s="68" t="str">
        <f>'Profit and Loss Export'!F1</f>
        <v>PnL_May_2017</v>
      </c>
      <c r="K1" s="68" t="str">
        <f>'Profit and Loss Export'!G1</f>
        <v>PnL_Jun_2017</v>
      </c>
      <c r="L1" s="68" t="str">
        <f>'Profit and Loss Export'!H1</f>
        <v>PnL_Jul_2017</v>
      </c>
      <c r="M1" s="68" t="str">
        <f>'Profit and Loss Export'!I1</f>
        <v>PnL_Aug_2017</v>
      </c>
      <c r="N1" s="68" t="str">
        <f>'Profit and Loss Export'!J1</f>
        <v>PnL_Sep_2017</v>
      </c>
      <c r="O1" s="68" t="str">
        <f>'Profit and Loss Export'!K1</f>
        <v>PnL_Oct_2017</v>
      </c>
      <c r="P1" s="68" t="str">
        <f>'Profit and Loss Export'!L1</f>
        <v>PnL_Nov_2017</v>
      </c>
      <c r="Q1" s="68" t="str">
        <f>'Profit and Loss Export'!M1</f>
        <v>PnL_Dec_2017</v>
      </c>
    </row>
    <row r="2" spans="1:17" hidden="1" outlineLevel="1" x14ac:dyDescent="0.2">
      <c r="P2" s="68"/>
      <c r="Q2" s="68"/>
    </row>
    <row r="3" spans="1:17" hidden="1" outlineLevel="1" x14ac:dyDescent="0.2">
      <c r="P3" s="68"/>
      <c r="Q3" s="68"/>
    </row>
    <row r="4" spans="1:17" hidden="1" outlineLevel="1" x14ac:dyDescent="0.2">
      <c r="C4" s="67"/>
      <c r="D4" s="67"/>
      <c r="F4" s="68" t="str">
        <f>"Payroll_"&amp;TEXT(F5,"mmm")&amp;"_"&amp;TEXT(F5,"yy")</f>
        <v>Payroll_Jan_17</v>
      </c>
      <c r="G4" s="68" t="str">
        <f t="shared" ref="G4:Q4" si="0">"Payroll_"&amp;TEXT(G5,"mmm")&amp;"_"&amp;TEXT(G5,"yy")</f>
        <v>Payroll_Feb_17</v>
      </c>
      <c r="H4" s="68" t="str">
        <f t="shared" si="0"/>
        <v>Payroll_Mar_17</v>
      </c>
      <c r="I4" s="68" t="str">
        <f t="shared" si="0"/>
        <v>Payroll_Apr_17</v>
      </c>
      <c r="J4" s="68" t="str">
        <f t="shared" si="0"/>
        <v>Payroll_May_17</v>
      </c>
      <c r="K4" s="68" t="str">
        <f t="shared" si="0"/>
        <v>Payroll_Jun_17</v>
      </c>
      <c r="L4" s="68" t="str">
        <f t="shared" si="0"/>
        <v>Payroll_Jul_17</v>
      </c>
      <c r="M4" s="68" t="str">
        <f t="shared" si="0"/>
        <v>Payroll_Aug_17</v>
      </c>
      <c r="N4" s="68" t="str">
        <f t="shared" si="0"/>
        <v>Payroll_Sep_17</v>
      </c>
      <c r="O4" s="68" t="str">
        <f t="shared" si="0"/>
        <v>Payroll_Oct_17</v>
      </c>
      <c r="P4" s="68" t="str">
        <f t="shared" si="0"/>
        <v>Payroll_Nov_17</v>
      </c>
      <c r="Q4" s="68" t="str">
        <f t="shared" si="0"/>
        <v>Payroll_Dec_17</v>
      </c>
    </row>
    <row r="5" spans="1:17" s="31" customFormat="1" ht="15" collapsed="1" x14ac:dyDescent="0.25">
      <c r="A5" s="85" t="s">
        <v>7</v>
      </c>
      <c r="B5" s="34"/>
      <c r="C5" s="37" t="s">
        <v>96</v>
      </c>
      <c r="D5" s="37" t="s">
        <v>100</v>
      </c>
      <c r="E5" s="34"/>
      <c r="F5" s="18">
        <f>Historicals_Start_Date</f>
        <v>42736</v>
      </c>
      <c r="G5" s="18">
        <f>DATE(YEAR(F5),MONTH(F5)+1,DAY(F5))</f>
        <v>42767</v>
      </c>
      <c r="H5" s="18">
        <f t="shared" ref="H5:Q5" si="1">DATE(YEAR(G5),MONTH(G5)+1,DAY(G5))</f>
        <v>42795</v>
      </c>
      <c r="I5" s="18">
        <f t="shared" si="1"/>
        <v>42826</v>
      </c>
      <c r="J5" s="18">
        <f t="shared" si="1"/>
        <v>42856</v>
      </c>
      <c r="K5" s="18">
        <f t="shared" si="1"/>
        <v>42887</v>
      </c>
      <c r="L5" s="18">
        <f t="shared" si="1"/>
        <v>42917</v>
      </c>
      <c r="M5" s="18">
        <f t="shared" si="1"/>
        <v>42948</v>
      </c>
      <c r="N5" s="18">
        <f t="shared" si="1"/>
        <v>42979</v>
      </c>
      <c r="O5" s="18">
        <f t="shared" si="1"/>
        <v>43009</v>
      </c>
      <c r="P5" s="18">
        <f t="shared" si="1"/>
        <v>43040</v>
      </c>
      <c r="Q5" s="18">
        <f t="shared" si="1"/>
        <v>43070</v>
      </c>
    </row>
    <row r="6" spans="1:17" x14ac:dyDescent="0.2">
      <c r="A6" s="14"/>
      <c r="C6" s="66" t="s">
        <v>101</v>
      </c>
    </row>
    <row r="7" spans="1:17" x14ac:dyDescent="0.2">
      <c r="A7" s="14" t="s">
        <v>6</v>
      </c>
      <c r="B7" s="71"/>
      <c r="C7" s="70"/>
      <c r="D7" s="70"/>
      <c r="E7" s="71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7" x14ac:dyDescent="0.2">
      <c r="A8" s="14" t="s">
        <v>1</v>
      </c>
      <c r="D8" s="103"/>
      <c r="P8" s="72"/>
      <c r="Q8" s="72"/>
    </row>
    <row r="9" spans="1:17" x14ac:dyDescent="0.2">
      <c r="A9" s="118" t="s">
        <v>47</v>
      </c>
      <c r="C9" s="66" t="s">
        <v>101</v>
      </c>
      <c r="D9" s="103"/>
      <c r="F9" s="73">
        <f ca="1">IF(AND(F$5&gt;=Forecast_Start_Date,$A9&gt;0),IF($C9="Revenue Model",INDEX(Revenue_Forecast_Array,MATCH(F$5,Revenue_Model_Months,0)),IF($C9="% of Sales",$D9*F$16,IF($C9="Payroll Model",SUMIFS('Payroll Model'!I:I,Payroll_Mappings,'Operating Model'!$A9),IF($C9="Continue Last Month",E9," ")))),IF($A9&gt;0,INDEX(INDIRECT(F$1),MATCH($A9,Profit_and_Loss_Categories,0))," "))</f>
        <v>15000</v>
      </c>
      <c r="G9" s="73">
        <f ca="1">IF(AND(G$5&gt;=Forecast_Start_Date,$A9&gt;0),IF($C9="Revenue Model",INDEX(Revenue_Forecast_Array,MATCH(G$5,Revenue_Model_Months,0)),IF($C9="% of Sales",$D9*G$16,IF($C9="Payroll Model",SUMIFS('Payroll Model'!J:J,Payroll_Mappings,'Operating Model'!$A9),IF($C9="Continue Last Month",F9," ")))),IF($A9&gt;0,INDEX(INDIRECT(G$1),MATCH($A9,Profit_and_Loss_Categories,0))," "))</f>
        <v>20000</v>
      </c>
      <c r="H9" s="73">
        <f ca="1">IF(AND(H$5&gt;=Forecast_Start_Date,$A9&gt;0),IF($C9="Revenue Model",INDEX(Revenue_Forecast_Array,MATCH(H$5,Revenue_Model_Months,0)),IF($C9="% of Sales",$D9*H$16,IF($C9="Payroll Model",SUMIFS('Payroll Model'!K:K,Payroll_Mappings,'Operating Model'!$A9),IF($C9="Continue Last Month",G9," ")))),IF($A9&gt;0,INDEX(INDIRECT(H$1),MATCH($A9,Profit_and_Loss_Categories,0))," "))</f>
        <v>25000</v>
      </c>
      <c r="I9" s="68">
        <f ca="1">IF(AND(I$5&gt;=Forecast_Start_Date,$A9&gt;0),IF($C9="Revenue Model",INDEX(Revenue_Forecast_Array,MATCH(I$5,Revenue_Model_Months,0)),IF($C9="% of Sales",$D9*I$16,IF($C9="Payroll Model",SUMIFS('Payroll Model'!L:L,Payroll_Mappings,'Operating Model'!$A9),IF($C9="Continue Last Month",H9," ")))),IF($A9&gt;0,INDEX(INDIRECT(I$1),MATCH($A9,Profit_and_Loss_Categories,0))," "))</f>
        <v>0</v>
      </c>
      <c r="J9" s="68">
        <f ca="1">IF(AND(J$5&gt;=Forecast_Start_Date,$A9&gt;0),IF($C9="Revenue Model",INDEX(Revenue_Forecast_Array,MATCH(J$5,Revenue_Model_Months,0)),IF($C9="% of Sales",$D9*J$16,IF($C9="Payroll Model",SUMIFS('Payroll Model'!M:M,Payroll_Mappings,'Operating Model'!$A9),IF($C9="Continue Last Month",I9," ")))),IF($A9&gt;0,INDEX(INDIRECT(J$1),MATCH($A9,Profit_and_Loss_Categories,0))," "))</f>
        <v>0</v>
      </c>
      <c r="K9" s="68">
        <f ca="1">IF(AND(K$5&gt;=Forecast_Start_Date,$A9&gt;0),IF($C9="Revenue Model",INDEX(Revenue_Forecast_Array,MATCH(K$5,Revenue_Model_Months,0)),IF($C9="% of Sales",$D9*K$16,IF($C9="Payroll Model",SUMIFS('Payroll Model'!N:N,Payroll_Mappings,'Operating Model'!$A9),IF($C9="Continue Last Month",J9," ")))),IF($A9&gt;0,INDEX(INDIRECT(K$1),MATCH($A9,Profit_and_Loss_Categories,0))," "))</f>
        <v>0</v>
      </c>
      <c r="L9" s="68">
        <f ca="1">IF(AND(L$5&gt;=Forecast_Start_Date,$A9&gt;0),IF($C9="Revenue Model",INDEX(Revenue_Forecast_Array,MATCH(L$5,Revenue_Model_Months,0)),IF($C9="% of Sales",$D9*L$16,IF($C9="Payroll Model",SUMIFS('Payroll Model'!O:O,Payroll_Mappings,'Operating Model'!$A9),IF($C9="Continue Last Month",K9," ")))),IF($A9&gt;0,INDEX(INDIRECT(L$1),MATCH($A9,Profit_and_Loss_Categories,0))," "))</f>
        <v>0</v>
      </c>
      <c r="M9" s="68">
        <f ca="1">IF(AND(M$5&gt;=Forecast_Start_Date,$A9&gt;0),IF($C9="Revenue Model",INDEX(Revenue_Forecast_Array,MATCH(M$5,Revenue_Model_Months,0)),IF($C9="% of Sales",$D9*M$16,IF($C9="Payroll Model",SUMIFS('Payroll Model'!P:P,Payroll_Mappings,'Operating Model'!$A9),IF($C9="Continue Last Month",L9," ")))),IF($A9&gt;0,INDEX(INDIRECT(M$1),MATCH($A9,Profit_and_Loss_Categories,0))," "))</f>
        <v>0</v>
      </c>
      <c r="N9" s="68">
        <f ca="1">IF(AND(N$5&gt;=Forecast_Start_Date,$A9&gt;0),IF($C9="Revenue Model",INDEX(Revenue_Forecast_Array,MATCH(N$5,Revenue_Model_Months,0)),IF($C9="% of Sales",$D9*N$16,IF($C9="Payroll Model",SUMIFS('Payroll Model'!Q:Q,Payroll_Mappings,'Operating Model'!$A9),IF($C9="Continue Last Month",M9," ")))),IF($A9&gt;0,INDEX(INDIRECT(N$1),MATCH($A9,Profit_and_Loss_Categories,0))," "))</f>
        <v>0</v>
      </c>
      <c r="O9" s="68">
        <f ca="1">IF(AND(O$5&gt;=Forecast_Start_Date,$A9&gt;0),IF($C9="Revenue Model",INDEX(Revenue_Forecast_Array,MATCH(O$5,Revenue_Model_Months,0)),IF($C9="% of Sales",$D9*O$16,IF($C9="Payroll Model",SUMIFS('Payroll Model'!R:R,Payroll_Mappings,'Operating Model'!$A9),IF($C9="Continue Last Month",N9," ")))),IF($A9&gt;0,INDEX(INDIRECT(O$1),MATCH($A9,Profit_and_Loss_Categories,0))," "))</f>
        <v>0</v>
      </c>
      <c r="P9" s="68">
        <f ca="1">IF(AND(P$5&gt;=Forecast_Start_Date,$A9&gt;0),IF($C9="Revenue Model",INDEX(Revenue_Forecast_Array,MATCH(P$5,Revenue_Model_Months,0)),IF($C9="% of Sales",$D9*P$16,IF($C9="Payroll Model",SUMIFS('Payroll Model'!S:S,Payroll_Mappings,'Operating Model'!$A9),IF($C9="Continue Last Month",O9," ")))),IF($A9&gt;0,INDEX(INDIRECT(P$1),MATCH($A9,Profit_and_Loss_Categories,0))," "))</f>
        <v>0</v>
      </c>
      <c r="Q9" s="68">
        <f ca="1">IF(AND(Q$5&gt;=Forecast_Start_Date,$A9&gt;0),IF($C9="Revenue Model",INDEX(Revenue_Forecast_Array,MATCH(Q$5,Revenue_Model_Months,0)),IF($C9="% of Sales",$D9*Q$16,IF($C9="Payroll Model",SUMIFS('Payroll Model'!T:T,Payroll_Mappings,'Operating Model'!$A9),IF($C9="Continue Last Month",P9," ")))),IF($A9&gt;0,INDEX(INDIRECT(Q$1),MATCH($A9,Profit_and_Loss_Categories,0))," "))</f>
        <v>0</v>
      </c>
    </row>
    <row r="10" spans="1:17" hidden="1" outlineLevel="1" x14ac:dyDescent="0.2">
      <c r="A10" s="118"/>
      <c r="F10" s="73" t="str">
        <f ca="1">IF(AND(F$5&gt;=Forecast_Start_Date,$A10&gt;0),IF($C10="Revenue Model",INDEX(Revenue_Forecast_Array,MATCH(F$5,Revenue_Model_Months,0)),IF($C10="% of Sales",$D10*F$16,IF($C10="Payroll Model",SUMIFS('Payroll Model'!L:L,Payroll_Mappings,'Operating Model'!$A10),IF($C10="Continue Last Month",E10," ")))),IF($A10&gt;0,INDEX(INDIRECT(F$1),MATCH($A10,Profit_and_Loss_Categories,0))," "))</f>
        <v xml:space="preserve"> </v>
      </c>
      <c r="G10" s="73" t="str">
        <f ca="1">IF(AND(G$5&gt;=Forecast_Start_Date,$A10&gt;0),IF($C10="Revenue Model",INDEX(Revenue_Forecast_Array,MATCH(G$5,Revenue_Model_Months,0)),IF($C10="% of Sales",$D10*G$16,IF($C10="Payroll Model",SUMIFS('Payroll Model'!M:M,Payroll_Mappings,'Operating Model'!$A10),IF($C10="Continue Last Month",F10," ")))),IF($A10&gt;0,INDEX(INDIRECT(G$1),MATCH($A10,Profit_and_Loss_Categories,0))," "))</f>
        <v xml:space="preserve"> </v>
      </c>
      <c r="H10" s="73" t="str">
        <f ca="1">IF(AND(H$5&gt;=Forecast_Start_Date,$A10&gt;0),IF($C10="Revenue Model",INDEX(Revenue_Forecast_Array,MATCH(H$5,Revenue_Model_Months,0)),IF($C10="% of Sales",$D10*H$16,IF($C10="Payroll Model",SUMIFS('Payroll Model'!N:N,Payroll_Mappings,'Operating Model'!$A10),IF($C10="Continue Last Month",G10," ")))),IF($A10&gt;0,INDEX(INDIRECT(H$1),MATCH($A10,Profit_and_Loss_Categories,0))," "))</f>
        <v xml:space="preserve"> </v>
      </c>
      <c r="I10" s="68" t="str">
        <f ca="1">IF(AND(I$5&gt;=Forecast_Start_Date,$A10&gt;0),IF($C10="Revenue Model",INDEX(Revenue_Forecast_Array,MATCH(I$5,Revenue_Model_Months,0)),IF($C10="% of Sales",$D10*I$16,IF($C10="Payroll Model",SUMIFS('Payroll Model'!O:O,Payroll_Mappings,'Operating Model'!$A10),IF($C10="Continue Last Month",H10," ")))),IF($A10&gt;0,INDEX(INDIRECT(I$1),MATCH($A10,Profit_and_Loss_Categories,0))," "))</f>
        <v xml:space="preserve"> </v>
      </c>
      <c r="J10" s="68" t="str">
        <f ca="1">IF(AND(J$5&gt;=Forecast_Start_Date,$A10&gt;0),IF($C10="Revenue Model",INDEX(Revenue_Forecast_Array,MATCH(J$5,Revenue_Model_Months,0)),IF($C10="% of Sales",$D10*J$16,IF($C10="Payroll Model",SUMIFS('Payroll Model'!P:P,Payroll_Mappings,'Operating Model'!$A10),IF($C10="Continue Last Month",I10," ")))),IF($A10&gt;0,INDEX(INDIRECT(J$1),MATCH($A10,Profit_and_Loss_Categories,0))," "))</f>
        <v xml:space="preserve"> </v>
      </c>
      <c r="K10" s="68" t="str">
        <f ca="1">IF(AND(K$5&gt;=Forecast_Start_Date,$A10&gt;0),IF($C10="Revenue Model",INDEX(Revenue_Forecast_Array,MATCH(K$5,Revenue_Model_Months,0)),IF($C10="% of Sales",$D10*K$16,IF($C10="Payroll Model",SUMIFS('Payroll Model'!Q:Q,Payroll_Mappings,'Operating Model'!$A10),IF($C10="Continue Last Month",J10," ")))),IF($A10&gt;0,INDEX(INDIRECT(K$1),MATCH($A10,Profit_and_Loss_Categories,0))," "))</f>
        <v xml:space="preserve"> </v>
      </c>
      <c r="L10" s="68" t="str">
        <f ca="1">IF(AND(L$5&gt;=Forecast_Start_Date,$A10&gt;0),IF($C10="Revenue Model",INDEX(Revenue_Forecast_Array,MATCH(L$5,Revenue_Model_Months,0)),IF($C10="% of Sales",$D10*L$16,IF($C10="Payroll Model",SUMIFS('Payroll Model'!R:R,Payroll_Mappings,'Operating Model'!$A10),IF($C10="Continue Last Month",K10," ")))),IF($A10&gt;0,INDEX(INDIRECT(L$1),MATCH($A10,Profit_and_Loss_Categories,0))," "))</f>
        <v xml:space="preserve"> </v>
      </c>
      <c r="M10" s="68" t="str">
        <f ca="1">IF(AND(M$5&gt;=Forecast_Start_Date,$A10&gt;0),IF($C10="Revenue Model",INDEX(Revenue_Forecast_Array,MATCH(M$5,Revenue_Model_Months,0)),IF($C10="% of Sales",$D10*M$16,IF($C10="Payroll Model",SUMIFS('Payroll Model'!S:S,Payroll_Mappings,'Operating Model'!$A10),IF($C10="Continue Last Month",L10," ")))),IF($A10&gt;0,INDEX(INDIRECT(M$1),MATCH($A10,Profit_and_Loss_Categories,0))," "))</f>
        <v xml:space="preserve"> </v>
      </c>
      <c r="N10" s="68" t="str">
        <f ca="1">IF(AND(N$5&gt;=Forecast_Start_Date,$A10&gt;0),IF($C10="Revenue Model",INDEX(Revenue_Forecast_Array,MATCH(N$5,Revenue_Model_Months,0)),IF($C10="% of Sales",$D10*N$16,IF($C10="Payroll Model",SUMIFS('Payroll Model'!T:T,Payroll_Mappings,'Operating Model'!$A10),IF($C10="Continue Last Month",M10," ")))),IF($A10&gt;0,INDEX(INDIRECT(N$1),MATCH($A10,Profit_and_Loss_Categories,0))," "))</f>
        <v xml:space="preserve"> </v>
      </c>
      <c r="O10" s="68" t="str">
        <f ca="1">IF(AND(O$5&gt;=Forecast_Start_Date,$A10&gt;0),IF($C10="Revenue Model",INDEX(Revenue_Forecast_Array,MATCH(O$5,Revenue_Model_Months,0)),IF($C10="% of Sales",$D10*O$16,IF($C10="Payroll Model",SUMIFS('Payroll Model'!#REF!,Payroll_Mappings,'Operating Model'!$A10),IF($C10="Continue Last Month",N10," ")))),IF($A10&gt;0,INDEX(INDIRECT(O$1),MATCH($A10,Profit_and_Loss_Categories,0))," "))</f>
        <v xml:space="preserve"> </v>
      </c>
      <c r="P10" s="68" t="str">
        <f ca="1">IF(AND(P$5&gt;=Forecast_Start_Date,$A10&gt;0),IF($C10="Revenue Model",INDEX(Revenue_Forecast_Array,MATCH(P$5,Revenue_Model_Months,0)),IF($C10="% of Sales",$D10*P$16,IF($C10="Payroll Model",SUMIFS('Payroll Model'!#REF!,Payroll_Mappings,'Operating Model'!$A10),IF($C10="Continue Last Month",O10," ")))),IF($A10&gt;0,INDEX(INDIRECT(P$1),MATCH($A10,Profit_and_Loss_Categories,0))," "))</f>
        <v xml:space="preserve"> </v>
      </c>
      <c r="Q10" s="68" t="str">
        <f ca="1">IF(AND(Q$5&gt;=Forecast_Start_Date,$A10&gt;0),IF($C10="Revenue Model",INDEX(Revenue_Forecast_Array,MATCH(Q$5,Revenue_Model_Months,0)),IF($C10="% of Sales",$D10*Q$16,IF($C10="Payroll Model",SUMIFS('Payroll Model'!#REF!,Payroll_Mappings,'Operating Model'!$A10),IF($C10="Continue Last Month",P10," ")))),IF($A10&gt;0,INDEX(INDIRECT(Q$1),MATCH($A10,Profit_and_Loss_Categories,0))," "))</f>
        <v xml:space="preserve"> </v>
      </c>
    </row>
    <row r="11" spans="1:17" hidden="1" outlineLevel="1" x14ac:dyDescent="0.2">
      <c r="A11" s="118"/>
      <c r="F11" s="73" t="str">
        <f ca="1">IF(AND(F$5&gt;=Forecast_Start_Date,$A11&gt;0),IF($C11="Revenue Model",INDEX(Revenue_Forecast_Array,MATCH(F$5,Revenue_Model_Months,0)),IF($C11="% of Sales",$D11*F$16,IF($C11="Payroll Model",SUMIFS('Payroll Model'!L:L,Payroll_Mappings,'Operating Model'!$A11),IF($C11="Continue Last Month",E11," ")))),IF($A11&gt;0,INDEX(INDIRECT(F$1),MATCH($A11,Profit_and_Loss_Categories,0))," "))</f>
        <v xml:space="preserve"> </v>
      </c>
      <c r="G11" s="73" t="str">
        <f ca="1">IF(AND(G$5&gt;=Forecast_Start_Date,$A11&gt;0),IF($C11="Revenue Model",INDEX(Revenue_Forecast_Array,MATCH(G$5,Revenue_Model_Months,0)),IF($C11="% of Sales",$D11*G$16,IF($C11="Payroll Model",SUMIFS('Payroll Model'!M:M,Payroll_Mappings,'Operating Model'!$A11),IF($C11="Continue Last Month",F11," ")))),IF($A11&gt;0,INDEX(INDIRECT(G$1),MATCH($A11,Profit_and_Loss_Categories,0))," "))</f>
        <v xml:space="preserve"> </v>
      </c>
      <c r="H11" s="73" t="str">
        <f ca="1">IF(AND(H$5&gt;=Forecast_Start_Date,$A11&gt;0),IF($C11="Revenue Model",INDEX(Revenue_Forecast_Array,MATCH(H$5,Revenue_Model_Months,0)),IF($C11="% of Sales",$D11*H$16,IF($C11="Payroll Model",SUMIFS('Payroll Model'!N:N,Payroll_Mappings,'Operating Model'!$A11),IF($C11="Continue Last Month",G11," ")))),IF($A11&gt;0,INDEX(INDIRECT(H$1),MATCH($A11,Profit_and_Loss_Categories,0))," "))</f>
        <v xml:space="preserve"> </v>
      </c>
      <c r="I11" s="68" t="str">
        <f ca="1">IF(AND(I$5&gt;=Forecast_Start_Date,$A11&gt;0),IF($C11="Revenue Model",INDEX(Revenue_Forecast_Array,MATCH(I$5,Revenue_Model_Months,0)),IF($C11="% of Sales",$D11*I$16,IF($C11="Payroll Model",SUMIFS('Payroll Model'!O:O,Payroll_Mappings,'Operating Model'!$A11),IF($C11="Continue Last Month",H11," ")))),IF($A11&gt;0,INDEX(INDIRECT(I$1),MATCH($A11,Profit_and_Loss_Categories,0))," "))</f>
        <v xml:space="preserve"> </v>
      </c>
      <c r="J11" s="68" t="str">
        <f ca="1">IF(AND(J$5&gt;=Forecast_Start_Date,$A11&gt;0),IF($C11="Revenue Model",INDEX(Revenue_Forecast_Array,MATCH(J$5,Revenue_Model_Months,0)),IF($C11="% of Sales",$D11*J$16,IF($C11="Payroll Model",SUMIFS('Payroll Model'!P:P,Payroll_Mappings,'Operating Model'!$A11),IF($C11="Continue Last Month",I11," ")))),IF($A11&gt;0,INDEX(INDIRECT(J$1),MATCH($A11,Profit_and_Loss_Categories,0))," "))</f>
        <v xml:space="preserve"> </v>
      </c>
      <c r="K11" s="68" t="str">
        <f ca="1">IF(AND(K$5&gt;=Forecast_Start_Date,$A11&gt;0),IF($C11="Revenue Model",INDEX(Revenue_Forecast_Array,MATCH(K$5,Revenue_Model_Months,0)),IF($C11="% of Sales",$D11*K$16,IF($C11="Payroll Model",SUMIFS('Payroll Model'!Q:Q,Payroll_Mappings,'Operating Model'!$A11),IF($C11="Continue Last Month",J11," ")))),IF($A11&gt;0,INDEX(INDIRECT(K$1),MATCH($A11,Profit_and_Loss_Categories,0))," "))</f>
        <v xml:space="preserve"> </v>
      </c>
      <c r="L11" s="68" t="str">
        <f ca="1">IF(AND(L$5&gt;=Forecast_Start_Date,$A11&gt;0),IF($C11="Revenue Model",INDEX(Revenue_Forecast_Array,MATCH(L$5,Revenue_Model_Months,0)),IF($C11="% of Sales",$D11*L$16,IF($C11="Payroll Model",SUMIFS('Payroll Model'!R:R,Payroll_Mappings,'Operating Model'!$A11),IF($C11="Continue Last Month",K11," ")))),IF($A11&gt;0,INDEX(INDIRECT(L$1),MATCH($A11,Profit_and_Loss_Categories,0))," "))</f>
        <v xml:space="preserve"> </v>
      </c>
      <c r="M11" s="68" t="str">
        <f ca="1">IF(AND(M$5&gt;=Forecast_Start_Date,$A11&gt;0),IF($C11="Revenue Model",INDEX(Revenue_Forecast_Array,MATCH(M$5,Revenue_Model_Months,0)),IF($C11="% of Sales",$D11*M$16,IF($C11="Payroll Model",SUMIFS('Payroll Model'!S:S,Payroll_Mappings,'Operating Model'!$A11),IF($C11="Continue Last Month",L11," ")))),IF($A11&gt;0,INDEX(INDIRECT(M$1),MATCH($A11,Profit_and_Loss_Categories,0))," "))</f>
        <v xml:space="preserve"> </v>
      </c>
      <c r="N11" s="68" t="str">
        <f ca="1">IF(AND(N$5&gt;=Forecast_Start_Date,$A11&gt;0),IF($C11="Revenue Model",INDEX(Revenue_Forecast_Array,MATCH(N$5,Revenue_Model_Months,0)),IF($C11="% of Sales",$D11*N$16,IF($C11="Payroll Model",SUMIFS('Payroll Model'!T:T,Payroll_Mappings,'Operating Model'!$A11),IF($C11="Continue Last Month",M11," ")))),IF($A11&gt;0,INDEX(INDIRECT(N$1),MATCH($A11,Profit_and_Loss_Categories,0))," "))</f>
        <v xml:space="preserve"> </v>
      </c>
      <c r="O11" s="68" t="str">
        <f ca="1">IF(AND(O$5&gt;=Forecast_Start_Date,$A11&gt;0),IF($C11="Revenue Model",INDEX(Revenue_Forecast_Array,MATCH(O$5,Revenue_Model_Months,0)),IF($C11="% of Sales",$D11*O$16,IF($C11="Payroll Model",SUMIFS('Payroll Model'!#REF!,Payroll_Mappings,'Operating Model'!$A11),IF($C11="Continue Last Month",N11," ")))),IF($A11&gt;0,INDEX(INDIRECT(O$1),MATCH($A11,Profit_and_Loss_Categories,0))," "))</f>
        <v xml:space="preserve"> </v>
      </c>
      <c r="P11" s="68" t="str">
        <f ca="1">IF(AND(P$5&gt;=Forecast_Start_Date,$A11&gt;0),IF($C11="Revenue Model",INDEX(Revenue_Forecast_Array,MATCH(P$5,Revenue_Model_Months,0)),IF($C11="% of Sales",$D11*P$16,IF($C11="Payroll Model",SUMIFS('Payroll Model'!#REF!,Payroll_Mappings,'Operating Model'!$A11),IF($C11="Continue Last Month",O11," ")))),IF($A11&gt;0,INDEX(INDIRECT(P$1),MATCH($A11,Profit_and_Loss_Categories,0))," "))</f>
        <v xml:space="preserve"> </v>
      </c>
      <c r="Q11" s="68" t="str">
        <f ca="1">IF(AND(Q$5&gt;=Forecast_Start_Date,$A11&gt;0),IF($C11="Revenue Model",INDEX(Revenue_Forecast_Array,MATCH(Q$5,Revenue_Model_Months,0)),IF($C11="% of Sales",$D11*Q$16,IF($C11="Payroll Model",SUMIFS('Payroll Model'!#REF!,Payroll_Mappings,'Operating Model'!$A11),IF($C11="Continue Last Month",P11," ")))),IF($A11&gt;0,INDEX(INDIRECT(Q$1),MATCH($A11,Profit_and_Loss_Categories,0))," "))</f>
        <v xml:space="preserve"> </v>
      </c>
    </row>
    <row r="12" spans="1:17" hidden="1" outlineLevel="1" x14ac:dyDescent="0.2">
      <c r="A12" s="118"/>
      <c r="F12" s="73" t="str">
        <f ca="1">IF(AND(F$5&gt;=Forecast_Start_Date,$A12&gt;0),IF($C12="Revenue Model",INDEX(Revenue_Forecast_Array,MATCH(F$5,Revenue_Model_Months,0)),IF($C12="% of Sales",$D12*F$16,IF($C12="Payroll Model",SUMIFS('Payroll Model'!L:L,Payroll_Mappings,'Operating Model'!$A12),IF($C12="Continue Last Month",E12," ")))),IF($A12&gt;0,INDEX(INDIRECT(F$1),MATCH($A12,Profit_and_Loss_Categories,0))," "))</f>
        <v xml:space="preserve"> </v>
      </c>
      <c r="G12" s="73" t="str">
        <f ca="1">IF(AND(G$5&gt;=Forecast_Start_Date,$A12&gt;0),IF($C12="Revenue Model",INDEX(Revenue_Forecast_Array,MATCH(G$5,Revenue_Model_Months,0)),IF($C12="% of Sales",$D12*G$16,IF($C12="Payroll Model",SUMIFS('Payroll Model'!M:M,Payroll_Mappings,'Operating Model'!$A12),IF($C12="Continue Last Month",F12," ")))),IF($A12&gt;0,INDEX(INDIRECT(G$1),MATCH($A12,Profit_and_Loss_Categories,0))," "))</f>
        <v xml:space="preserve"> </v>
      </c>
      <c r="H12" s="73" t="str">
        <f ca="1">IF(AND(H$5&gt;=Forecast_Start_Date,$A12&gt;0),IF($C12="Revenue Model",INDEX(Revenue_Forecast_Array,MATCH(H$5,Revenue_Model_Months,0)),IF($C12="% of Sales",$D12*H$16,IF($C12="Payroll Model",SUMIFS('Payroll Model'!N:N,Payroll_Mappings,'Operating Model'!$A12),IF($C12="Continue Last Month",G12," ")))),IF($A12&gt;0,INDEX(INDIRECT(H$1),MATCH($A12,Profit_and_Loss_Categories,0))," "))</f>
        <v xml:space="preserve"> </v>
      </c>
      <c r="I12" s="68" t="str">
        <f ca="1">IF(AND(I$5&gt;=Forecast_Start_Date,$A12&gt;0),IF($C12="Revenue Model",INDEX(Revenue_Forecast_Array,MATCH(I$5,Revenue_Model_Months,0)),IF($C12="% of Sales",$D12*I$16,IF($C12="Payroll Model",SUMIFS('Payroll Model'!O:O,Payroll_Mappings,'Operating Model'!$A12),IF($C12="Continue Last Month",H12," ")))),IF($A12&gt;0,INDEX(INDIRECT(I$1),MATCH($A12,Profit_and_Loss_Categories,0))," "))</f>
        <v xml:space="preserve"> </v>
      </c>
      <c r="J12" s="68" t="str">
        <f ca="1">IF(AND(J$5&gt;=Forecast_Start_Date,$A12&gt;0),IF($C12="Revenue Model",INDEX(Revenue_Forecast_Array,MATCH(J$5,Revenue_Model_Months,0)),IF($C12="% of Sales",$D12*J$16,IF($C12="Payroll Model",SUMIFS('Payroll Model'!P:P,Payroll_Mappings,'Operating Model'!$A12),IF($C12="Continue Last Month",I12," ")))),IF($A12&gt;0,INDEX(INDIRECT(J$1),MATCH($A12,Profit_and_Loss_Categories,0))," "))</f>
        <v xml:space="preserve"> </v>
      </c>
      <c r="K12" s="68" t="str">
        <f ca="1">IF(AND(K$5&gt;=Forecast_Start_Date,$A12&gt;0),IF($C12="Revenue Model",INDEX(Revenue_Forecast_Array,MATCH(K$5,Revenue_Model_Months,0)),IF($C12="% of Sales",$D12*K$16,IF($C12="Payroll Model",SUMIFS('Payroll Model'!Q:Q,Payroll_Mappings,'Operating Model'!$A12),IF($C12="Continue Last Month",J12," ")))),IF($A12&gt;0,INDEX(INDIRECT(K$1),MATCH($A12,Profit_and_Loss_Categories,0))," "))</f>
        <v xml:space="preserve"> </v>
      </c>
      <c r="L12" s="68" t="str">
        <f ca="1">IF(AND(L$5&gt;=Forecast_Start_Date,$A12&gt;0),IF($C12="Revenue Model",INDEX(Revenue_Forecast_Array,MATCH(L$5,Revenue_Model_Months,0)),IF($C12="% of Sales",$D12*L$16,IF($C12="Payroll Model",SUMIFS('Payroll Model'!R:R,Payroll_Mappings,'Operating Model'!$A12),IF($C12="Continue Last Month",K12," ")))),IF($A12&gt;0,INDEX(INDIRECT(L$1),MATCH($A12,Profit_and_Loss_Categories,0))," "))</f>
        <v xml:space="preserve"> </v>
      </c>
      <c r="M12" s="68" t="str">
        <f ca="1">IF(AND(M$5&gt;=Forecast_Start_Date,$A12&gt;0),IF($C12="Revenue Model",INDEX(Revenue_Forecast_Array,MATCH(M$5,Revenue_Model_Months,0)),IF($C12="% of Sales",$D12*M$16,IF($C12="Payroll Model",SUMIFS('Payroll Model'!S:S,Payroll_Mappings,'Operating Model'!$A12),IF($C12="Continue Last Month",L12," ")))),IF($A12&gt;0,INDEX(INDIRECT(M$1),MATCH($A12,Profit_and_Loss_Categories,0))," "))</f>
        <v xml:space="preserve"> </v>
      </c>
      <c r="N12" s="68" t="str">
        <f ca="1">IF(AND(N$5&gt;=Forecast_Start_Date,$A12&gt;0),IF($C12="Revenue Model",INDEX(Revenue_Forecast_Array,MATCH(N$5,Revenue_Model_Months,0)),IF($C12="% of Sales",$D12*N$16,IF($C12="Payroll Model",SUMIFS('Payroll Model'!T:T,Payroll_Mappings,'Operating Model'!$A12),IF($C12="Continue Last Month",M12," ")))),IF($A12&gt;0,INDEX(INDIRECT(N$1),MATCH($A12,Profit_and_Loss_Categories,0))," "))</f>
        <v xml:space="preserve"> </v>
      </c>
      <c r="O12" s="68" t="str">
        <f ca="1">IF(AND(O$5&gt;=Forecast_Start_Date,$A12&gt;0),IF($C12="Revenue Model",INDEX(Revenue_Forecast_Array,MATCH(O$5,Revenue_Model_Months,0)),IF($C12="% of Sales",$D12*O$16,IF($C12="Payroll Model",SUMIFS('Payroll Model'!#REF!,Payroll_Mappings,'Operating Model'!$A12),IF($C12="Continue Last Month",N12," ")))),IF($A12&gt;0,INDEX(INDIRECT(O$1),MATCH($A12,Profit_and_Loss_Categories,0))," "))</f>
        <v xml:space="preserve"> </v>
      </c>
      <c r="P12" s="68" t="str">
        <f ca="1">IF(AND(P$5&gt;=Forecast_Start_Date,$A12&gt;0),IF($C12="Revenue Model",INDEX(Revenue_Forecast_Array,MATCH(P$5,Revenue_Model_Months,0)),IF($C12="% of Sales",$D12*P$16,IF($C12="Payroll Model",SUMIFS('Payroll Model'!#REF!,Payroll_Mappings,'Operating Model'!$A12),IF($C12="Continue Last Month",O12," ")))),IF($A12&gt;0,INDEX(INDIRECT(P$1),MATCH($A12,Profit_and_Loss_Categories,0))," "))</f>
        <v xml:space="preserve"> </v>
      </c>
      <c r="Q12" s="68" t="str">
        <f ca="1">IF(AND(Q$5&gt;=Forecast_Start_Date,$A12&gt;0),IF($C12="Revenue Model",INDEX(Revenue_Forecast_Array,MATCH(Q$5,Revenue_Model_Months,0)),IF($C12="% of Sales",$D12*Q$16,IF($C12="Payroll Model",SUMIFS('Payroll Model'!#REF!,Payroll_Mappings,'Operating Model'!$A12),IF($C12="Continue Last Month",P12," ")))),IF($A12&gt;0,INDEX(INDIRECT(Q$1),MATCH($A12,Profit_and_Loss_Categories,0))," "))</f>
        <v xml:space="preserve"> </v>
      </c>
    </row>
    <row r="13" spans="1:17" hidden="1" outlineLevel="1" x14ac:dyDescent="0.2">
      <c r="A13" s="122">
        <v>0</v>
      </c>
      <c r="F13" s="73" t="str">
        <f ca="1">IF(AND(F$5&gt;=Forecast_Start_Date,$A13&gt;0),IF($C13="Revenue Model",INDEX(Revenue_Forecast_Array,MATCH(F$5,Revenue_Model_Months,0)),IF($C13="% of Sales",$D13*F$16,IF($C13="Payroll Model",SUMIFS('Payroll Model'!L:L,Payroll_Mappings,'Operating Model'!$A13),IF($C13="Continue Last Month",E13," ")))),IF($A13&gt;0,INDEX(INDIRECT(F$1),MATCH($A13,Profit_and_Loss_Categories,0))," "))</f>
        <v xml:space="preserve"> </v>
      </c>
      <c r="G13" s="73" t="str">
        <f ca="1">IF(AND(G$5&gt;=Forecast_Start_Date,$A13&gt;0),IF($C13="Revenue Model",INDEX(Revenue_Forecast_Array,MATCH(G$5,Revenue_Model_Months,0)),IF($C13="% of Sales",$D13*G$16,IF($C13="Payroll Model",SUMIFS('Payroll Model'!M:M,Payroll_Mappings,'Operating Model'!$A13),IF($C13="Continue Last Month",F13," ")))),IF($A13&gt;0,INDEX(INDIRECT(G$1),MATCH($A13,Profit_and_Loss_Categories,0))," "))</f>
        <v xml:space="preserve"> </v>
      </c>
      <c r="H13" s="73" t="str">
        <f ca="1">IF(AND(H$5&gt;=Forecast_Start_Date,$A13&gt;0),IF($C13="Revenue Model",INDEX(Revenue_Forecast_Array,MATCH(H$5,Revenue_Model_Months,0)),IF($C13="% of Sales",$D13*H$16,IF($C13="Payroll Model",SUMIFS('Payroll Model'!N:N,Payroll_Mappings,'Operating Model'!$A13),IF($C13="Continue Last Month",G13," ")))),IF($A13&gt;0,INDEX(INDIRECT(H$1),MATCH($A13,Profit_and_Loss_Categories,0))," "))</f>
        <v xml:space="preserve"> </v>
      </c>
      <c r="I13" s="68" t="str">
        <f ca="1">IF(AND(I$5&gt;=Forecast_Start_Date,$A13&gt;0),IF($C13="Revenue Model",INDEX(Revenue_Forecast_Array,MATCH(I$5,Revenue_Model_Months,0)),IF($C13="% of Sales",$D13*I$16,IF($C13="Payroll Model",SUMIFS('Payroll Model'!O:O,Payroll_Mappings,'Operating Model'!$A13),IF($C13="Continue Last Month",H13," ")))),IF($A13&gt;0,INDEX(INDIRECT(I$1),MATCH($A13,Profit_and_Loss_Categories,0))," "))</f>
        <v xml:space="preserve"> </v>
      </c>
      <c r="J13" s="68" t="str">
        <f ca="1">IF(AND(J$5&gt;=Forecast_Start_Date,$A13&gt;0),IF($C13="Revenue Model",INDEX(Revenue_Forecast_Array,MATCH(J$5,Revenue_Model_Months,0)),IF($C13="% of Sales",$D13*J$16,IF($C13="Payroll Model",SUMIFS('Payroll Model'!P:P,Payroll_Mappings,'Operating Model'!$A13),IF($C13="Continue Last Month",I13," ")))),IF($A13&gt;0,INDEX(INDIRECT(J$1),MATCH($A13,Profit_and_Loss_Categories,0))," "))</f>
        <v xml:space="preserve"> </v>
      </c>
      <c r="K13" s="68" t="str">
        <f ca="1">IF(AND(K$5&gt;=Forecast_Start_Date,$A13&gt;0),IF($C13="Revenue Model",INDEX(Revenue_Forecast_Array,MATCH(K$5,Revenue_Model_Months,0)),IF($C13="% of Sales",$D13*K$16,IF($C13="Payroll Model",SUMIFS('Payroll Model'!Q:Q,Payroll_Mappings,'Operating Model'!$A13),IF($C13="Continue Last Month",J13," ")))),IF($A13&gt;0,INDEX(INDIRECT(K$1),MATCH($A13,Profit_and_Loss_Categories,0))," "))</f>
        <v xml:space="preserve"> </v>
      </c>
      <c r="L13" s="68" t="str">
        <f ca="1">IF(AND(L$5&gt;=Forecast_Start_Date,$A13&gt;0),IF($C13="Revenue Model",INDEX(Revenue_Forecast_Array,MATCH(L$5,Revenue_Model_Months,0)),IF($C13="% of Sales",$D13*L$16,IF($C13="Payroll Model",SUMIFS('Payroll Model'!R:R,Payroll_Mappings,'Operating Model'!$A13),IF($C13="Continue Last Month",K13," ")))),IF($A13&gt;0,INDEX(INDIRECT(L$1),MATCH($A13,Profit_and_Loss_Categories,0))," "))</f>
        <v xml:space="preserve"> </v>
      </c>
      <c r="M13" s="68" t="str">
        <f ca="1">IF(AND(M$5&gt;=Forecast_Start_Date,$A13&gt;0),IF($C13="Revenue Model",INDEX(Revenue_Forecast_Array,MATCH(M$5,Revenue_Model_Months,0)),IF($C13="% of Sales",$D13*M$16,IF($C13="Payroll Model",SUMIFS('Payroll Model'!S:S,Payroll_Mappings,'Operating Model'!$A13),IF($C13="Continue Last Month",L13," ")))),IF($A13&gt;0,INDEX(INDIRECT(M$1),MATCH($A13,Profit_and_Loss_Categories,0))," "))</f>
        <v xml:space="preserve"> </v>
      </c>
      <c r="N13" s="68" t="str">
        <f ca="1">IF(AND(N$5&gt;=Forecast_Start_Date,$A13&gt;0),IF($C13="Revenue Model",INDEX(Revenue_Forecast_Array,MATCH(N$5,Revenue_Model_Months,0)),IF($C13="% of Sales",$D13*N$16,IF($C13="Payroll Model",SUMIFS('Payroll Model'!T:T,Payroll_Mappings,'Operating Model'!$A13),IF($C13="Continue Last Month",M13," ")))),IF($A13&gt;0,INDEX(INDIRECT(N$1),MATCH($A13,Profit_and_Loss_Categories,0))," "))</f>
        <v xml:space="preserve"> </v>
      </c>
      <c r="O13" s="68" t="str">
        <f ca="1">IF(AND(O$5&gt;=Forecast_Start_Date,$A13&gt;0),IF($C13="Revenue Model",INDEX(Revenue_Forecast_Array,MATCH(O$5,Revenue_Model_Months,0)),IF($C13="% of Sales",$D13*O$16,IF($C13="Payroll Model",SUMIFS('Payroll Model'!#REF!,Payroll_Mappings,'Operating Model'!$A13),IF($C13="Continue Last Month",N13," ")))),IF($A13&gt;0,INDEX(INDIRECT(O$1),MATCH($A13,Profit_and_Loss_Categories,0))," "))</f>
        <v xml:space="preserve"> </v>
      </c>
      <c r="P13" s="68" t="str">
        <f ca="1">IF(AND(P$5&gt;=Forecast_Start_Date,$A13&gt;0),IF($C13="Revenue Model",INDEX(Revenue_Forecast_Array,MATCH(P$5,Revenue_Model_Months,0)),IF($C13="% of Sales",$D13*P$16,IF($C13="Payroll Model",SUMIFS('Payroll Model'!#REF!,Payroll_Mappings,'Operating Model'!$A13),IF($C13="Continue Last Month",O13," ")))),IF($A13&gt;0,INDEX(INDIRECT(P$1),MATCH($A13,Profit_and_Loss_Categories,0))," "))</f>
        <v xml:space="preserve"> </v>
      </c>
      <c r="Q13" s="68" t="str">
        <f ca="1">IF(AND(Q$5&gt;=Forecast_Start_Date,$A13&gt;0),IF($C13="Revenue Model",INDEX(Revenue_Forecast_Array,MATCH(Q$5,Revenue_Model_Months,0)),IF($C13="% of Sales",$D13*Q$16,IF($C13="Payroll Model",SUMIFS('Payroll Model'!#REF!,Payroll_Mappings,'Operating Model'!$A13),IF($C13="Continue Last Month",P13," ")))),IF($A13&gt;0,INDEX(INDIRECT(Q$1),MATCH($A13,Profit_and_Loss_Categories,0))," "))</f>
        <v xml:space="preserve"> </v>
      </c>
    </row>
    <row r="14" spans="1:17" hidden="1" outlineLevel="1" x14ac:dyDescent="0.2">
      <c r="A14" s="118"/>
      <c r="F14" s="73" t="str">
        <f ca="1">IF(AND(F$5&gt;=Forecast_Start_Date,$A14&gt;0),IF($C14="Revenue Model",INDEX(Revenue_Forecast_Array,MATCH(F$5,Revenue_Model_Months,0)),IF($C14="% of Sales",$D14*F$16,IF($C14="Payroll Model",SUMIFS('Payroll Model'!L:L,Payroll_Mappings,'Operating Model'!$A14),IF($C14="Continue Last Month",E14," ")))),IF($A14&gt;0,INDEX(INDIRECT(F$1),MATCH($A14,Profit_and_Loss_Categories,0))," "))</f>
        <v xml:space="preserve"> </v>
      </c>
      <c r="G14" s="73" t="str">
        <f ca="1">IF(AND(G$5&gt;=Forecast_Start_Date,$A14&gt;0),IF($C14="Revenue Model",INDEX(Revenue_Forecast_Array,MATCH(G$5,Revenue_Model_Months,0)),IF($C14="% of Sales",$D14*G$16,IF($C14="Payroll Model",SUMIFS('Payroll Model'!M:M,Payroll_Mappings,'Operating Model'!$A14),IF($C14="Continue Last Month",F14," ")))),IF($A14&gt;0,INDEX(INDIRECT(G$1),MATCH($A14,Profit_and_Loss_Categories,0))," "))</f>
        <v xml:space="preserve"> </v>
      </c>
      <c r="H14" s="73" t="str">
        <f ca="1">IF(AND(H$5&gt;=Forecast_Start_Date,$A14&gt;0),IF($C14="Revenue Model",INDEX(Revenue_Forecast_Array,MATCH(H$5,Revenue_Model_Months,0)),IF($C14="% of Sales",$D14*H$16,IF($C14="Payroll Model",SUMIFS('Payroll Model'!N:N,Payroll_Mappings,'Operating Model'!$A14),IF($C14="Continue Last Month",G14," ")))),IF($A14&gt;0,INDEX(INDIRECT(H$1),MATCH($A14,Profit_and_Loss_Categories,0))," "))</f>
        <v xml:space="preserve"> </v>
      </c>
      <c r="I14" s="68" t="str">
        <f ca="1">IF(AND(I$5&gt;=Forecast_Start_Date,$A14&gt;0),IF($C14="Revenue Model",INDEX(Revenue_Forecast_Array,MATCH(I$5,Revenue_Model_Months,0)),IF($C14="% of Sales",$D14*I$16,IF($C14="Payroll Model",SUMIFS('Payroll Model'!O:O,Payroll_Mappings,'Operating Model'!$A14),IF($C14="Continue Last Month",H14," ")))),IF($A14&gt;0,INDEX(INDIRECT(I$1),MATCH($A14,Profit_and_Loss_Categories,0))," "))</f>
        <v xml:space="preserve"> </v>
      </c>
      <c r="J14" s="68" t="str">
        <f ca="1">IF(AND(J$5&gt;=Forecast_Start_Date,$A14&gt;0),IF($C14="Revenue Model",INDEX(Revenue_Forecast_Array,MATCH(J$5,Revenue_Model_Months,0)),IF($C14="% of Sales",$D14*J$16,IF($C14="Payroll Model",SUMIFS('Payroll Model'!P:P,Payroll_Mappings,'Operating Model'!$A14),IF($C14="Continue Last Month",I14," ")))),IF($A14&gt;0,INDEX(INDIRECT(J$1),MATCH($A14,Profit_and_Loss_Categories,0))," "))</f>
        <v xml:space="preserve"> </v>
      </c>
      <c r="K14" s="68" t="str">
        <f ca="1">IF(AND(K$5&gt;=Forecast_Start_Date,$A14&gt;0),IF($C14="Revenue Model",INDEX(Revenue_Forecast_Array,MATCH(K$5,Revenue_Model_Months,0)),IF($C14="% of Sales",$D14*K$16,IF($C14="Payroll Model",SUMIFS('Payroll Model'!Q:Q,Payroll_Mappings,'Operating Model'!$A14),IF($C14="Continue Last Month",J14," ")))),IF($A14&gt;0,INDEX(INDIRECT(K$1),MATCH($A14,Profit_and_Loss_Categories,0))," "))</f>
        <v xml:space="preserve"> </v>
      </c>
      <c r="L14" s="68" t="str">
        <f ca="1">IF(AND(L$5&gt;=Forecast_Start_Date,$A14&gt;0),IF($C14="Revenue Model",INDEX(Revenue_Forecast_Array,MATCH(L$5,Revenue_Model_Months,0)),IF($C14="% of Sales",$D14*L$16,IF($C14="Payroll Model",SUMIFS('Payroll Model'!R:R,Payroll_Mappings,'Operating Model'!$A14),IF($C14="Continue Last Month",K14," ")))),IF($A14&gt;0,INDEX(INDIRECT(L$1),MATCH($A14,Profit_and_Loss_Categories,0))," "))</f>
        <v xml:space="preserve"> </v>
      </c>
      <c r="M14" s="68" t="str">
        <f ca="1">IF(AND(M$5&gt;=Forecast_Start_Date,$A14&gt;0),IF($C14="Revenue Model",INDEX(Revenue_Forecast_Array,MATCH(M$5,Revenue_Model_Months,0)),IF($C14="% of Sales",$D14*M$16,IF($C14="Payroll Model",SUMIFS('Payroll Model'!S:S,Payroll_Mappings,'Operating Model'!$A14),IF($C14="Continue Last Month",L14," ")))),IF($A14&gt;0,INDEX(INDIRECT(M$1),MATCH($A14,Profit_and_Loss_Categories,0))," "))</f>
        <v xml:space="preserve"> </v>
      </c>
      <c r="N14" s="68" t="str">
        <f ca="1">IF(AND(N$5&gt;=Forecast_Start_Date,$A14&gt;0),IF($C14="Revenue Model",INDEX(Revenue_Forecast_Array,MATCH(N$5,Revenue_Model_Months,0)),IF($C14="% of Sales",$D14*N$16,IF($C14="Payroll Model",SUMIFS('Payroll Model'!T:T,Payroll_Mappings,'Operating Model'!$A14),IF($C14="Continue Last Month",M14," ")))),IF($A14&gt;0,INDEX(INDIRECT(N$1),MATCH($A14,Profit_and_Loss_Categories,0))," "))</f>
        <v xml:space="preserve"> </v>
      </c>
      <c r="O14" s="68" t="str">
        <f ca="1">IF(AND(O$5&gt;=Forecast_Start_Date,$A14&gt;0),IF($C14="Revenue Model",INDEX(Revenue_Forecast_Array,MATCH(O$5,Revenue_Model_Months,0)),IF($C14="% of Sales",$D14*O$16,IF($C14="Payroll Model",SUMIFS('Payroll Model'!#REF!,Payroll_Mappings,'Operating Model'!$A14),IF($C14="Continue Last Month",N14," ")))),IF($A14&gt;0,INDEX(INDIRECT(O$1),MATCH($A14,Profit_and_Loss_Categories,0))," "))</f>
        <v xml:space="preserve"> </v>
      </c>
      <c r="P14" s="68" t="str">
        <f ca="1">IF(AND(P$5&gt;=Forecast_Start_Date,$A14&gt;0),IF($C14="Revenue Model",INDEX(Revenue_Forecast_Array,MATCH(P$5,Revenue_Model_Months,0)),IF($C14="% of Sales",$D14*P$16,IF($C14="Payroll Model",SUMIFS('Payroll Model'!#REF!,Payroll_Mappings,'Operating Model'!$A14),IF($C14="Continue Last Month",O14," ")))),IF($A14&gt;0,INDEX(INDIRECT(P$1),MATCH($A14,Profit_and_Loss_Categories,0))," "))</f>
        <v xml:space="preserve"> </v>
      </c>
      <c r="Q14" s="68" t="str">
        <f ca="1">IF(AND(Q$5&gt;=Forecast_Start_Date,$A14&gt;0),IF($C14="Revenue Model",INDEX(Revenue_Forecast_Array,MATCH(Q$5,Revenue_Model_Months,0)),IF($C14="% of Sales",$D14*Q$16,IF($C14="Payroll Model",SUMIFS('Payroll Model'!#REF!,Payroll_Mappings,'Operating Model'!$A14),IF($C14="Continue Last Month",P14," ")))),IF($A14&gt;0,INDEX(INDIRECT(Q$1),MATCH($A14,Profit_and_Loss_Categories,0))," "))</f>
        <v xml:space="preserve"> </v>
      </c>
    </row>
    <row r="15" spans="1:17" ht="0.75" customHeight="1" collapsed="1" x14ac:dyDescent="0.2">
      <c r="A15" s="74"/>
      <c r="F15" s="73"/>
      <c r="G15" s="73"/>
      <c r="H15" s="73"/>
      <c r="P15" s="68"/>
      <c r="Q15" s="68"/>
    </row>
    <row r="16" spans="1:17" s="19" customFormat="1" x14ac:dyDescent="0.2">
      <c r="A16" s="19" t="s">
        <v>2</v>
      </c>
      <c r="B16" s="76"/>
      <c r="C16" s="75"/>
      <c r="D16" s="75"/>
      <c r="E16" s="76"/>
      <c r="F16" s="77">
        <f t="shared" ref="F16:Q16" ca="1" si="2">SUM(F8:F15)</f>
        <v>15000</v>
      </c>
      <c r="G16" s="77">
        <f t="shared" ca="1" si="2"/>
        <v>20000</v>
      </c>
      <c r="H16" s="77">
        <f t="shared" ca="1" si="2"/>
        <v>25000</v>
      </c>
      <c r="I16" s="77">
        <f t="shared" ca="1" si="2"/>
        <v>0</v>
      </c>
      <c r="J16" s="77">
        <f t="shared" ca="1" si="2"/>
        <v>0</v>
      </c>
      <c r="K16" s="77">
        <f t="shared" ca="1" si="2"/>
        <v>0</v>
      </c>
      <c r="L16" s="77">
        <f t="shared" ca="1" si="2"/>
        <v>0</v>
      </c>
      <c r="M16" s="77">
        <f t="shared" ca="1" si="2"/>
        <v>0</v>
      </c>
      <c r="N16" s="77">
        <f t="shared" ca="1" si="2"/>
        <v>0</v>
      </c>
      <c r="O16" s="77">
        <f t="shared" ca="1" si="2"/>
        <v>0</v>
      </c>
      <c r="P16" s="77">
        <f t="shared" ca="1" si="2"/>
        <v>0</v>
      </c>
      <c r="Q16" s="77">
        <f t="shared" ca="1" si="2"/>
        <v>0</v>
      </c>
    </row>
    <row r="17" spans="1:17" hidden="1" outlineLevel="2" x14ac:dyDescent="0.2">
      <c r="A17" s="83" t="s">
        <v>77</v>
      </c>
      <c r="B17" s="86"/>
      <c r="E17" s="86"/>
      <c r="F17" s="84">
        <f ca="1">INDEX(INDIRECT(F$1),MATCH("Total Income",Profit_and_Loss_Categories,0))-F16</f>
        <v>0</v>
      </c>
      <c r="G17" s="84">
        <f ca="1">INDEX(INDIRECT(G$1),MATCH("Total Income",Profit_and_Loss_Categories,0))-G16</f>
        <v>0</v>
      </c>
      <c r="H17" s="84">
        <f ca="1">INDEX(INDIRECT(H$1),MATCH("Total Income",Profit_and_Loss_Categories,0))-H16</f>
        <v>0</v>
      </c>
      <c r="I17" s="84"/>
      <c r="J17" s="84"/>
      <c r="K17" s="84"/>
      <c r="L17" s="84"/>
      <c r="M17" s="84"/>
      <c r="N17" s="84"/>
      <c r="O17" s="84"/>
      <c r="P17" s="84"/>
      <c r="Q17" s="84"/>
    </row>
    <row r="18" spans="1:17" collapsed="1" x14ac:dyDescent="0.2">
      <c r="A18" s="14" t="s">
        <v>10</v>
      </c>
      <c r="F18" s="69"/>
      <c r="G18" s="69"/>
      <c r="H18" s="69"/>
    </row>
    <row r="19" spans="1:17" x14ac:dyDescent="0.2">
      <c r="A19" s="116" t="s">
        <v>88</v>
      </c>
      <c r="C19" s="66" t="s">
        <v>101</v>
      </c>
      <c r="D19" s="103" t="str">
        <f t="shared" ref="D19:D27" si="3">IF($C19="% of Sales",INDEX(19:19,MATCH(DATE(YEAR(Forecast_Start_Date),MONTH(Forecast_Start_Date)-1,DAY(Forecast_Start_Date)),Operating_Model_Months,0))/INDEX(Total_Income,MATCH(DATE(YEAR(Forecast_Start_Date),MONTH(Forecast_Start_Date)-1,DAY(Forecast_Start_Date)),Operating_Model_Months,0))," ")</f>
        <v xml:space="preserve"> </v>
      </c>
      <c r="F19" s="73">
        <f ca="1">IF(AND(F$5&gt;=Forecast_Start_Date,$A19&gt;0),IF($C19="Revenue Model",INDEX(Revenue_Forecast_Array,MATCH(F$5,Revenue_Model_Months,0)),IF($C19="% of Sales",$D19*F$16,IF($C19="Payroll Model",SUMIFS('Payroll Model'!I:I,Payroll_Mappings,'Operating Model'!$A19),IF($C19="Continue Last Month",E19," ")))),IF($A19&gt;0,INDEX(INDIRECT(F$1),MATCH($A19,Profit_and_Loss_Categories,0))," "))</f>
        <v>300</v>
      </c>
      <c r="G19" s="73">
        <f ca="1">IF(AND(G$5&gt;=Forecast_Start_Date,$A19&gt;0),IF($C19="Revenue Model",INDEX(Revenue_Forecast_Array,MATCH(G$5,Revenue_Model_Months,0)),IF($C19="% of Sales",$D19*G$16,IF($C19="Payroll Model",SUMIFS('Payroll Model'!J:J,Payroll_Mappings,'Operating Model'!$A19),IF($C19="Continue Last Month",F19," ")))),IF($A19&gt;0,INDEX(INDIRECT(G$1),MATCH($A19,Profit_and_Loss_Categories,0))," "))</f>
        <v>300</v>
      </c>
      <c r="H19" s="73">
        <f ca="1">IF(AND(H$5&gt;=Forecast_Start_Date,$A19&gt;0),IF($C19="Revenue Model",INDEX(Revenue_Forecast_Array,MATCH(H$5,Revenue_Model_Months,0)),IF($C19="% of Sales",$D19*H$16,IF($C19="Payroll Model",SUMIFS('Payroll Model'!K:K,Payroll_Mappings,'Operating Model'!$A19),IF($C19="Continue Last Month",G19," ")))),IF($A19&gt;0,INDEX(INDIRECT(H$1),MATCH($A19,Profit_and_Loss_Categories,0))," "))</f>
        <v>300</v>
      </c>
      <c r="I19" s="68">
        <f ca="1">IF(AND(I$5&gt;=Forecast_Start_Date,$A19&gt;0),IF($C19="Revenue Model",INDEX(Revenue_Forecast_Array,MATCH(I$5,Revenue_Model_Months,0)),IF($C19="% of Sales",$D19*I$16,IF($C19="Payroll Model",SUMIFS('Payroll Model'!L:L,Payroll_Mappings,'Operating Model'!$A19),IF($C19="Continue Last Month",H19," ")))),IF($A19&gt;0,INDEX(INDIRECT(I$1),MATCH($A19,Profit_and_Loss_Categories,0))," "))</f>
        <v>0</v>
      </c>
      <c r="J19" s="68">
        <f ca="1">IF(AND(J$5&gt;=Forecast_Start_Date,$A19&gt;0),IF($C19="Revenue Model",INDEX(Revenue_Forecast_Array,MATCH(J$5,Revenue_Model_Months,0)),IF($C19="% of Sales",$D19*J$16,IF($C19="Payroll Model",SUMIFS('Payroll Model'!M:M,Payroll_Mappings,'Operating Model'!$A19),IF($C19="Continue Last Month",I19," ")))),IF($A19&gt;0,INDEX(INDIRECT(J$1),MATCH($A19,Profit_and_Loss_Categories,0))," "))</f>
        <v>0</v>
      </c>
      <c r="K19" s="68">
        <f ca="1">IF(AND(K$5&gt;=Forecast_Start_Date,$A19&gt;0),IF($C19="Revenue Model",INDEX(Revenue_Forecast_Array,MATCH(K$5,Revenue_Model_Months,0)),IF($C19="% of Sales",$D19*K$16,IF($C19="Payroll Model",SUMIFS('Payroll Model'!N:N,Payroll_Mappings,'Operating Model'!$A19),IF($C19="Continue Last Month",J19," ")))),IF($A19&gt;0,INDEX(INDIRECT(K$1),MATCH($A19,Profit_and_Loss_Categories,0))," "))</f>
        <v>0</v>
      </c>
      <c r="L19" s="68">
        <f ca="1">IF(AND(L$5&gt;=Forecast_Start_Date,$A19&gt;0),IF($C19="Revenue Model",INDEX(Revenue_Forecast_Array,MATCH(L$5,Revenue_Model_Months,0)),IF($C19="% of Sales",$D19*L$16,IF($C19="Payroll Model",SUMIFS('Payroll Model'!O:O,Payroll_Mappings,'Operating Model'!$A19),IF($C19="Continue Last Month",K19," ")))),IF($A19&gt;0,INDEX(INDIRECT(L$1),MATCH($A19,Profit_and_Loss_Categories,0))," "))</f>
        <v>0</v>
      </c>
      <c r="M19" s="68">
        <f ca="1">IF(AND(M$5&gt;=Forecast_Start_Date,$A19&gt;0),IF($C19="Revenue Model",INDEX(Revenue_Forecast_Array,MATCH(M$5,Revenue_Model_Months,0)),IF($C19="% of Sales",$D19*M$16,IF($C19="Payroll Model",SUMIFS('Payroll Model'!P:P,Payroll_Mappings,'Operating Model'!$A19),IF($C19="Continue Last Month",L19," ")))),IF($A19&gt;0,INDEX(INDIRECT(M$1),MATCH($A19,Profit_and_Loss_Categories,0))," "))</f>
        <v>0</v>
      </c>
      <c r="N19" s="68">
        <f ca="1">IF(AND(N$5&gt;=Forecast_Start_Date,$A19&gt;0),IF($C19="Revenue Model",INDEX(Revenue_Forecast_Array,MATCH(N$5,Revenue_Model_Months,0)),IF($C19="% of Sales",$D19*N$16,IF($C19="Payroll Model",SUMIFS('Payroll Model'!Q:Q,Payroll_Mappings,'Operating Model'!$A19),IF($C19="Continue Last Month",M19," ")))),IF($A19&gt;0,INDEX(INDIRECT(N$1),MATCH($A19,Profit_and_Loss_Categories,0))," "))</f>
        <v>0</v>
      </c>
      <c r="O19" s="68">
        <f ca="1">IF(AND(O$5&gt;=Forecast_Start_Date,$A19&gt;0),IF($C19="Revenue Model",INDEX(Revenue_Forecast_Array,MATCH(O$5,Revenue_Model_Months,0)),IF($C19="% of Sales",$D19*O$16,IF($C19="Payroll Model",SUMIFS('Payroll Model'!R:R,Payroll_Mappings,'Operating Model'!$A19),IF($C19="Continue Last Month",N19," ")))),IF($A19&gt;0,INDEX(INDIRECT(O$1),MATCH($A19,Profit_and_Loss_Categories,0))," "))</f>
        <v>0</v>
      </c>
      <c r="P19" s="68">
        <f ca="1">IF(AND(P$5&gt;=Forecast_Start_Date,$A19&gt;0),IF($C19="Revenue Model",INDEX(Revenue_Forecast_Array,MATCH(P$5,Revenue_Model_Months,0)),IF($C19="% of Sales",$D19*P$16,IF($C19="Payroll Model",SUMIFS('Payroll Model'!S:S,Payroll_Mappings,'Operating Model'!$A19),IF($C19="Continue Last Month",O19," ")))),IF($A19&gt;0,INDEX(INDIRECT(P$1),MATCH($A19,Profit_and_Loss_Categories,0))," "))</f>
        <v>0</v>
      </c>
      <c r="Q19" s="68">
        <f ca="1">IF(AND(Q$5&gt;=Forecast_Start_Date,$A19&gt;0),IF($C19="Revenue Model",INDEX(Revenue_Forecast_Array,MATCH(Q$5,Revenue_Model_Months,0)),IF($C19="% of Sales",$D19*Q$16,IF($C19="Payroll Model",SUMIFS('Payroll Model'!T:T,Payroll_Mappings,'Operating Model'!$A19),IF($C19="Continue Last Month",P19," ")))),IF($A19&gt;0,INDEX(INDIRECT(Q$1),MATCH($A19,Profit_and_Loss_Categories,0))," "))</f>
        <v>0</v>
      </c>
    </row>
    <row r="20" spans="1:17" x14ac:dyDescent="0.2">
      <c r="A20" s="116" t="s">
        <v>89</v>
      </c>
      <c r="C20" s="66" t="s">
        <v>101</v>
      </c>
      <c r="D20" s="103" t="str">
        <f t="shared" si="3"/>
        <v xml:space="preserve"> </v>
      </c>
      <c r="F20" s="73">
        <f ca="1">IF(AND(F$5&gt;=Forecast_Start_Date,$A20&gt;0),IF($C20="Revenue Model",INDEX(Revenue_Forecast_Array,MATCH(F$5,Revenue_Model_Months,0)),IF($C20="% of Sales",$D20*F$16,IF($C20="Payroll Model",SUMIFS('Payroll Model'!I:I,Payroll_Mappings,'Operating Model'!$A20),IF($C20="Continue Last Month",E20," ")))),IF($A20&gt;0,INDEX(INDIRECT(F$1),MATCH($A20,Profit_and_Loss_Categories,0))," "))</f>
        <v>440</v>
      </c>
      <c r="G20" s="73">
        <f ca="1">IF(AND(G$5&gt;=Forecast_Start_Date,$A20&gt;0),IF($C20="Revenue Model",INDEX(Revenue_Forecast_Array,MATCH(G$5,Revenue_Model_Months,0)),IF($C20="% of Sales",$D20*G$16,IF($C20="Payroll Model",SUMIFS('Payroll Model'!J:J,Payroll_Mappings,'Operating Model'!$A20),IF($C20="Continue Last Month",F20," ")))),IF($A20&gt;0,INDEX(INDIRECT(G$1),MATCH($A20,Profit_and_Loss_Categories,0))," "))</f>
        <v>440</v>
      </c>
      <c r="H20" s="73">
        <f ca="1">IF(AND(H$5&gt;=Forecast_Start_Date,$A20&gt;0),IF($C20="Revenue Model",INDEX(Revenue_Forecast_Array,MATCH(H$5,Revenue_Model_Months,0)),IF($C20="% of Sales",$D20*H$16,IF($C20="Payroll Model",SUMIFS('Payroll Model'!K:K,Payroll_Mappings,'Operating Model'!$A20),IF($C20="Continue Last Month",G20," ")))),IF($A20&gt;0,INDEX(INDIRECT(H$1),MATCH($A20,Profit_and_Loss_Categories,0))," "))</f>
        <v>440</v>
      </c>
      <c r="I20" s="68">
        <f ca="1">IF(AND(I$5&gt;=Forecast_Start_Date,$A20&gt;0),IF($C20="Revenue Model",INDEX(Revenue_Forecast_Array,MATCH(I$5,Revenue_Model_Months,0)),IF($C20="% of Sales",$D20*I$16,IF($C20="Payroll Model",SUMIFS('Payroll Model'!L:L,Payroll_Mappings,'Operating Model'!$A20),IF($C20="Continue Last Month",H20," ")))),IF($A20&gt;0,INDEX(INDIRECT(I$1),MATCH($A20,Profit_and_Loss_Categories,0))," "))</f>
        <v>0</v>
      </c>
      <c r="J20" s="68">
        <f ca="1">IF(AND(J$5&gt;=Forecast_Start_Date,$A20&gt;0),IF($C20="Revenue Model",INDEX(Revenue_Forecast_Array,MATCH(J$5,Revenue_Model_Months,0)),IF($C20="% of Sales",$D20*J$16,IF($C20="Payroll Model",SUMIFS('Payroll Model'!M:M,Payroll_Mappings,'Operating Model'!$A20),IF($C20="Continue Last Month",I20," ")))),IF($A20&gt;0,INDEX(INDIRECT(J$1),MATCH($A20,Profit_and_Loss_Categories,0))," "))</f>
        <v>0</v>
      </c>
      <c r="K20" s="68">
        <f ca="1">IF(AND(K$5&gt;=Forecast_Start_Date,$A20&gt;0),IF($C20="Revenue Model",INDEX(Revenue_Forecast_Array,MATCH(K$5,Revenue_Model_Months,0)),IF($C20="% of Sales",$D20*K$16,IF($C20="Payroll Model",SUMIFS('Payroll Model'!N:N,Payroll_Mappings,'Operating Model'!$A20),IF($C20="Continue Last Month",J20," ")))),IF($A20&gt;0,INDEX(INDIRECT(K$1),MATCH($A20,Profit_and_Loss_Categories,0))," "))</f>
        <v>0</v>
      </c>
      <c r="L20" s="68">
        <f ca="1">IF(AND(L$5&gt;=Forecast_Start_Date,$A20&gt;0),IF($C20="Revenue Model",INDEX(Revenue_Forecast_Array,MATCH(L$5,Revenue_Model_Months,0)),IF($C20="% of Sales",$D20*L$16,IF($C20="Payroll Model",SUMIFS('Payroll Model'!O:O,Payroll_Mappings,'Operating Model'!$A20),IF($C20="Continue Last Month",K20," ")))),IF($A20&gt;0,INDEX(INDIRECT(L$1),MATCH($A20,Profit_and_Loss_Categories,0))," "))</f>
        <v>0</v>
      </c>
      <c r="M20" s="68">
        <f ca="1">IF(AND(M$5&gt;=Forecast_Start_Date,$A20&gt;0),IF($C20="Revenue Model",INDEX(Revenue_Forecast_Array,MATCH(M$5,Revenue_Model_Months,0)),IF($C20="% of Sales",$D20*M$16,IF($C20="Payroll Model",SUMIFS('Payroll Model'!P:P,Payroll_Mappings,'Operating Model'!$A20),IF($C20="Continue Last Month",L20," ")))),IF($A20&gt;0,INDEX(INDIRECT(M$1),MATCH($A20,Profit_and_Loss_Categories,0))," "))</f>
        <v>0</v>
      </c>
      <c r="N20" s="68">
        <f ca="1">IF(AND(N$5&gt;=Forecast_Start_Date,$A20&gt;0),IF($C20="Revenue Model",INDEX(Revenue_Forecast_Array,MATCH(N$5,Revenue_Model_Months,0)),IF($C20="% of Sales",$D20*N$16,IF($C20="Payroll Model",SUMIFS('Payroll Model'!Q:Q,Payroll_Mappings,'Operating Model'!$A20),IF($C20="Continue Last Month",M20," ")))),IF($A20&gt;0,INDEX(INDIRECT(N$1),MATCH($A20,Profit_and_Loss_Categories,0))," "))</f>
        <v>0</v>
      </c>
      <c r="O20" s="68">
        <f ca="1">IF(AND(O$5&gt;=Forecast_Start_Date,$A20&gt;0),IF($C20="Revenue Model",INDEX(Revenue_Forecast_Array,MATCH(O$5,Revenue_Model_Months,0)),IF($C20="% of Sales",$D20*O$16,IF($C20="Payroll Model",SUMIFS('Payroll Model'!R:R,Payroll_Mappings,'Operating Model'!$A20),IF($C20="Continue Last Month",N20," ")))),IF($A20&gt;0,INDEX(INDIRECT(O$1),MATCH($A20,Profit_and_Loss_Categories,0))," "))</f>
        <v>0</v>
      </c>
      <c r="P20" s="68">
        <f ca="1">IF(AND(P$5&gt;=Forecast_Start_Date,$A20&gt;0),IF($C20="Revenue Model",INDEX(Revenue_Forecast_Array,MATCH(P$5,Revenue_Model_Months,0)),IF($C20="% of Sales",$D20*P$16,IF($C20="Payroll Model",SUMIFS('Payroll Model'!S:S,Payroll_Mappings,'Operating Model'!$A20),IF($C20="Continue Last Month",O20," ")))),IF($A20&gt;0,INDEX(INDIRECT(P$1),MATCH($A20,Profit_and_Loss_Categories,0))," "))</f>
        <v>0</v>
      </c>
      <c r="Q20" s="68">
        <f ca="1">IF(AND(Q$5&gt;=Forecast_Start_Date,$A20&gt;0),IF($C20="Revenue Model",INDEX(Revenue_Forecast_Array,MATCH(Q$5,Revenue_Model_Months,0)),IF($C20="% of Sales",$D20*Q$16,IF($C20="Payroll Model",SUMIFS('Payroll Model'!T:T,Payroll_Mappings,'Operating Model'!$A20),IF($C20="Continue Last Month",P20," ")))),IF($A20&gt;0,INDEX(INDIRECT(Q$1),MATCH($A20,Profit_and_Loss_Categories,0))," "))</f>
        <v>0</v>
      </c>
    </row>
    <row r="21" spans="1:17" x14ac:dyDescent="0.2">
      <c r="A21" s="116" t="s">
        <v>90</v>
      </c>
      <c r="C21" s="66" t="s">
        <v>101</v>
      </c>
      <c r="D21" s="103" t="str">
        <f t="shared" si="3"/>
        <v xml:space="preserve"> </v>
      </c>
      <c r="F21" s="73">
        <f ca="1">IF(AND(F$5&gt;=Forecast_Start_Date,$A21&gt;0),IF($C21="Revenue Model",INDEX(Revenue_Forecast_Array,MATCH(F$5,Revenue_Model_Months,0)),IF($C21="% of Sales",$D21*F$16,IF($C21="Payroll Model",SUMIFS('Payroll Model'!I:I,Payroll_Mappings,'Operating Model'!$A21),IF($C21="Continue Last Month",E21," ")))),IF($A21&gt;0,INDEX(INDIRECT(F$1),MATCH($A21,Profit_and_Loss_Categories,0))," "))</f>
        <v>4000</v>
      </c>
      <c r="G21" s="73">
        <f ca="1">IF(AND(G$5&gt;=Forecast_Start_Date,$A21&gt;0),IF($C21="Revenue Model",INDEX(Revenue_Forecast_Array,MATCH(G$5,Revenue_Model_Months,0)),IF($C21="% of Sales",$D21*G$16,IF($C21="Payroll Model",SUMIFS('Payroll Model'!J:J,Payroll_Mappings,'Operating Model'!$A21),IF($C21="Continue Last Month",F21," ")))),IF($A21&gt;0,INDEX(INDIRECT(G$1),MATCH($A21,Profit_and_Loss_Categories,0))," "))</f>
        <v>4000</v>
      </c>
      <c r="H21" s="73">
        <f ca="1">IF(AND(H$5&gt;=Forecast_Start_Date,$A21&gt;0),IF($C21="Revenue Model",INDEX(Revenue_Forecast_Array,MATCH(H$5,Revenue_Model_Months,0)),IF($C21="% of Sales",$D21*H$16,IF($C21="Payroll Model",SUMIFS('Payroll Model'!K:K,Payroll_Mappings,'Operating Model'!$A21),IF($C21="Continue Last Month",G21," ")))),IF($A21&gt;0,INDEX(INDIRECT(H$1),MATCH($A21,Profit_and_Loss_Categories,0))," "))</f>
        <v>4000</v>
      </c>
      <c r="I21" s="68">
        <f ca="1">IF(AND(I$5&gt;=Forecast_Start_Date,$A21&gt;0),IF($C21="Revenue Model",INDEX(Revenue_Forecast_Array,MATCH(I$5,Revenue_Model_Months,0)),IF($C21="% of Sales",$D21*I$16,IF($C21="Payroll Model",SUMIFS('Payroll Model'!L:L,Payroll_Mappings,'Operating Model'!$A21),IF($C21="Continue Last Month",H21," ")))),IF($A21&gt;0,INDEX(INDIRECT(I$1),MATCH($A21,Profit_and_Loss_Categories,0))," "))</f>
        <v>0</v>
      </c>
      <c r="J21" s="68">
        <f ca="1">IF(AND(J$5&gt;=Forecast_Start_Date,$A21&gt;0),IF($C21="Revenue Model",INDEX(Revenue_Forecast_Array,MATCH(J$5,Revenue_Model_Months,0)),IF($C21="% of Sales",$D21*J$16,IF($C21="Payroll Model",SUMIFS('Payroll Model'!M:M,Payroll_Mappings,'Operating Model'!$A21),IF($C21="Continue Last Month",I21," ")))),IF($A21&gt;0,INDEX(INDIRECT(J$1),MATCH($A21,Profit_and_Loss_Categories,0))," "))</f>
        <v>0</v>
      </c>
      <c r="K21" s="68">
        <f ca="1">IF(AND(K$5&gt;=Forecast_Start_Date,$A21&gt;0),IF($C21="Revenue Model",INDEX(Revenue_Forecast_Array,MATCH(K$5,Revenue_Model_Months,0)),IF($C21="% of Sales",$D21*K$16,IF($C21="Payroll Model",SUMIFS('Payroll Model'!N:N,Payroll_Mappings,'Operating Model'!$A21),IF($C21="Continue Last Month",J21," ")))),IF($A21&gt;0,INDEX(INDIRECT(K$1),MATCH($A21,Profit_and_Loss_Categories,0))," "))</f>
        <v>0</v>
      </c>
      <c r="L21" s="68">
        <f ca="1">IF(AND(L$5&gt;=Forecast_Start_Date,$A21&gt;0),IF($C21="Revenue Model",INDEX(Revenue_Forecast_Array,MATCH(L$5,Revenue_Model_Months,0)),IF($C21="% of Sales",$D21*L$16,IF($C21="Payroll Model",SUMIFS('Payroll Model'!O:O,Payroll_Mappings,'Operating Model'!$A21),IF($C21="Continue Last Month",K21," ")))),IF($A21&gt;0,INDEX(INDIRECT(L$1),MATCH($A21,Profit_and_Loss_Categories,0))," "))</f>
        <v>0</v>
      </c>
      <c r="M21" s="68">
        <f ca="1">IF(AND(M$5&gt;=Forecast_Start_Date,$A21&gt;0),IF($C21="Revenue Model",INDEX(Revenue_Forecast_Array,MATCH(M$5,Revenue_Model_Months,0)),IF($C21="% of Sales",$D21*M$16,IF($C21="Payroll Model",SUMIFS('Payroll Model'!P:P,Payroll_Mappings,'Operating Model'!$A21),IF($C21="Continue Last Month",L21," ")))),IF($A21&gt;0,INDEX(INDIRECT(M$1),MATCH($A21,Profit_and_Loss_Categories,0))," "))</f>
        <v>0</v>
      </c>
      <c r="N21" s="68">
        <f ca="1">IF(AND(N$5&gt;=Forecast_Start_Date,$A21&gt;0),IF($C21="Revenue Model",INDEX(Revenue_Forecast_Array,MATCH(N$5,Revenue_Model_Months,0)),IF($C21="% of Sales",$D21*N$16,IF($C21="Payroll Model",SUMIFS('Payroll Model'!Q:Q,Payroll_Mappings,'Operating Model'!$A21),IF($C21="Continue Last Month",M21," ")))),IF($A21&gt;0,INDEX(INDIRECT(N$1),MATCH($A21,Profit_and_Loss_Categories,0))," "))</f>
        <v>0</v>
      </c>
      <c r="O21" s="68">
        <f ca="1">IF(AND(O$5&gt;=Forecast_Start_Date,$A21&gt;0),IF($C21="Revenue Model",INDEX(Revenue_Forecast_Array,MATCH(O$5,Revenue_Model_Months,0)),IF($C21="% of Sales",$D21*O$16,IF($C21="Payroll Model",SUMIFS('Payroll Model'!R:R,Payroll_Mappings,'Operating Model'!$A21),IF($C21="Continue Last Month",N21," ")))),IF($A21&gt;0,INDEX(INDIRECT(O$1),MATCH($A21,Profit_and_Loss_Categories,0))," "))</f>
        <v>0</v>
      </c>
      <c r="P21" s="68">
        <f ca="1">IF(AND(P$5&gt;=Forecast_Start_Date,$A21&gt;0),IF($C21="Revenue Model",INDEX(Revenue_Forecast_Array,MATCH(P$5,Revenue_Model_Months,0)),IF($C21="% of Sales",$D21*P$16,IF($C21="Payroll Model",SUMIFS('Payroll Model'!S:S,Payroll_Mappings,'Operating Model'!$A21),IF($C21="Continue Last Month",O21," ")))),IF($A21&gt;0,INDEX(INDIRECT(P$1),MATCH($A21,Profit_and_Loss_Categories,0))," "))</f>
        <v>0</v>
      </c>
      <c r="Q21" s="68">
        <f ca="1">IF(AND(Q$5&gt;=Forecast_Start_Date,$A21&gt;0),IF($C21="Revenue Model",INDEX(Revenue_Forecast_Array,MATCH(Q$5,Revenue_Model_Months,0)),IF($C21="% of Sales",$D21*Q$16,IF($C21="Payroll Model",SUMIFS('Payroll Model'!T:T,Payroll_Mappings,'Operating Model'!$A21),IF($C21="Continue Last Month",P21," ")))),IF($A21&gt;0,INDEX(INDIRECT(Q$1),MATCH($A21,Profit_and_Loss_Categories,0))," "))</f>
        <v>0</v>
      </c>
    </row>
    <row r="22" spans="1:17" x14ac:dyDescent="0.2">
      <c r="A22" s="116" t="s">
        <v>153</v>
      </c>
      <c r="C22" s="66" t="s">
        <v>101</v>
      </c>
      <c r="D22" s="103" t="str">
        <f t="shared" si="3"/>
        <v xml:space="preserve"> </v>
      </c>
      <c r="F22" s="73">
        <f ca="1">IF(AND(F$5&gt;=Forecast_Start_Date,$A22&gt;0),IF($C22="Revenue Model",INDEX(Revenue_Forecast_Array,MATCH(F$5,Revenue_Model_Months,0)),IF($C22="% of Sales",$D22*F$16,IF($C22="Payroll Model",SUMIFS('Payroll Model'!I:I,Payroll_Mappings,'Operating Model'!$A22),IF($C22="Continue Last Month",E22," ")))),IF($A22&gt;0,INDEX(INDIRECT(F$1),MATCH($A22,Profit_and_Loss_Categories,0))," "))</f>
        <v>3000</v>
      </c>
      <c r="G22" s="73">
        <f ca="1">IF(AND(G$5&gt;=Forecast_Start_Date,$A22&gt;0),IF($C22="Revenue Model",INDEX(Revenue_Forecast_Array,MATCH(G$5,Revenue_Model_Months,0)),IF($C22="% of Sales",$D22*G$16,IF($C22="Payroll Model",SUMIFS('Payroll Model'!J:J,Payroll_Mappings,'Operating Model'!$A22),IF($C22="Continue Last Month",F22," ")))),IF($A22&gt;0,INDEX(INDIRECT(G$1),MATCH($A22,Profit_and_Loss_Categories,0))," "))</f>
        <v>4000</v>
      </c>
      <c r="H22" s="73">
        <f ca="1">IF(AND(H$5&gt;=Forecast_Start_Date,$A22&gt;0),IF($C22="Revenue Model",INDEX(Revenue_Forecast_Array,MATCH(H$5,Revenue_Model_Months,0)),IF($C22="% of Sales",$D22*H$16,IF($C22="Payroll Model",SUMIFS('Payroll Model'!K:K,Payroll_Mappings,'Operating Model'!$A22),IF($C22="Continue Last Month",G22," ")))),IF($A22&gt;0,INDEX(INDIRECT(H$1),MATCH($A22,Profit_and_Loss_Categories,0))," "))</f>
        <v>5000</v>
      </c>
      <c r="I22" s="68">
        <f ca="1">IF(AND(I$5&gt;=Forecast_Start_Date,$A22&gt;0),IF($C22="Revenue Model",INDEX(Revenue_Forecast_Array,MATCH(I$5,Revenue_Model_Months,0)),IF($C22="% of Sales",$D22*I$16,IF($C22="Payroll Model",SUMIFS('Payroll Model'!L:L,Payroll_Mappings,'Operating Model'!$A22),IF($C22="Continue Last Month",H22," ")))),IF($A22&gt;0,INDEX(INDIRECT(I$1),MATCH($A22,Profit_and_Loss_Categories,0))," "))</f>
        <v>0</v>
      </c>
      <c r="J22" s="68">
        <f ca="1">IF(AND(J$5&gt;=Forecast_Start_Date,$A22&gt;0),IF($C22="Revenue Model",INDEX(Revenue_Forecast_Array,MATCH(J$5,Revenue_Model_Months,0)),IF($C22="% of Sales",$D22*J$16,IF($C22="Payroll Model",SUMIFS('Payroll Model'!M:M,Payroll_Mappings,'Operating Model'!$A22),IF($C22="Continue Last Month",I22," ")))),IF($A22&gt;0,INDEX(INDIRECT(J$1),MATCH($A22,Profit_and_Loss_Categories,0))," "))</f>
        <v>0</v>
      </c>
      <c r="K22" s="68">
        <f ca="1">IF(AND(K$5&gt;=Forecast_Start_Date,$A22&gt;0),IF($C22="Revenue Model",INDEX(Revenue_Forecast_Array,MATCH(K$5,Revenue_Model_Months,0)),IF($C22="% of Sales",$D22*K$16,IF($C22="Payroll Model",SUMIFS('Payroll Model'!N:N,Payroll_Mappings,'Operating Model'!$A22),IF($C22="Continue Last Month",J22," ")))),IF($A22&gt;0,INDEX(INDIRECT(K$1),MATCH($A22,Profit_and_Loss_Categories,0))," "))</f>
        <v>0</v>
      </c>
      <c r="L22" s="68">
        <f ca="1">IF(AND(L$5&gt;=Forecast_Start_Date,$A22&gt;0),IF($C22="Revenue Model",INDEX(Revenue_Forecast_Array,MATCH(L$5,Revenue_Model_Months,0)),IF($C22="% of Sales",$D22*L$16,IF($C22="Payroll Model",SUMIFS('Payroll Model'!O:O,Payroll_Mappings,'Operating Model'!$A22),IF($C22="Continue Last Month",K22," ")))),IF($A22&gt;0,INDEX(INDIRECT(L$1),MATCH($A22,Profit_and_Loss_Categories,0))," "))</f>
        <v>0</v>
      </c>
      <c r="M22" s="68">
        <f ca="1">IF(AND(M$5&gt;=Forecast_Start_Date,$A22&gt;0),IF($C22="Revenue Model",INDEX(Revenue_Forecast_Array,MATCH(M$5,Revenue_Model_Months,0)),IF($C22="% of Sales",$D22*M$16,IF($C22="Payroll Model",SUMIFS('Payroll Model'!P:P,Payroll_Mappings,'Operating Model'!$A22),IF($C22="Continue Last Month",L22," ")))),IF($A22&gt;0,INDEX(INDIRECT(M$1),MATCH($A22,Profit_and_Loss_Categories,0))," "))</f>
        <v>0</v>
      </c>
      <c r="N22" s="68">
        <f ca="1">IF(AND(N$5&gt;=Forecast_Start_Date,$A22&gt;0),IF($C22="Revenue Model",INDEX(Revenue_Forecast_Array,MATCH(N$5,Revenue_Model_Months,0)),IF($C22="% of Sales",$D22*N$16,IF($C22="Payroll Model",SUMIFS('Payroll Model'!Q:Q,Payroll_Mappings,'Operating Model'!$A22),IF($C22="Continue Last Month",M22," ")))),IF($A22&gt;0,INDEX(INDIRECT(N$1),MATCH($A22,Profit_and_Loss_Categories,0))," "))</f>
        <v>0</v>
      </c>
      <c r="O22" s="68">
        <f ca="1">IF(AND(O$5&gt;=Forecast_Start_Date,$A22&gt;0),IF($C22="Revenue Model",INDEX(Revenue_Forecast_Array,MATCH(O$5,Revenue_Model_Months,0)),IF($C22="% of Sales",$D22*O$16,IF($C22="Payroll Model",SUMIFS('Payroll Model'!R:R,Payroll_Mappings,'Operating Model'!$A22),IF($C22="Continue Last Month",N22," ")))),IF($A22&gt;0,INDEX(INDIRECT(O$1),MATCH($A22,Profit_and_Loss_Categories,0))," "))</f>
        <v>0</v>
      </c>
      <c r="P22" s="68">
        <f ca="1">IF(AND(P$5&gt;=Forecast_Start_Date,$A22&gt;0),IF($C22="Revenue Model",INDEX(Revenue_Forecast_Array,MATCH(P$5,Revenue_Model_Months,0)),IF($C22="% of Sales",$D22*P$16,IF($C22="Payroll Model",SUMIFS('Payroll Model'!S:S,Payroll_Mappings,'Operating Model'!$A22),IF($C22="Continue Last Month",O22," ")))),IF($A22&gt;0,INDEX(INDIRECT(P$1),MATCH($A22,Profit_and_Loss_Categories,0))," "))</f>
        <v>0</v>
      </c>
      <c r="Q22" s="68">
        <f ca="1">IF(AND(Q$5&gt;=Forecast_Start_Date,$A22&gt;0),IF($C22="Revenue Model",INDEX(Revenue_Forecast_Array,MATCH(Q$5,Revenue_Model_Months,0)),IF($C22="% of Sales",$D22*Q$16,IF($C22="Payroll Model",SUMIFS('Payroll Model'!T:T,Payroll_Mappings,'Operating Model'!$A22),IF($C22="Continue Last Month",P22," ")))),IF($A22&gt;0,INDEX(INDIRECT(Q$1),MATCH($A22,Profit_and_Loss_Categories,0))," "))</f>
        <v>0</v>
      </c>
    </row>
    <row r="23" spans="1:17" x14ac:dyDescent="0.2">
      <c r="A23" s="116"/>
      <c r="C23" s="66" t="s">
        <v>101</v>
      </c>
      <c r="D23" s="103" t="str">
        <f t="shared" si="3"/>
        <v xml:space="preserve"> </v>
      </c>
      <c r="F23" s="73" t="str">
        <f ca="1">IF(AND(F$5&gt;=Forecast_Start_Date,$A23&gt;0),IF($C23="Revenue Model",INDEX(Revenue_Forecast_Array,MATCH(F$5,Revenue_Model_Months,0)),IF($C23="% of Sales",$D23*F$16,IF($C23="Payroll Model",SUMIFS('Payroll Model'!I:I,Payroll_Mappings,'Operating Model'!$A23),IF($C23="Continue Last Month",E23," ")))),IF($A23&gt;0,INDEX(INDIRECT(F$1),MATCH($A23,Profit_and_Loss_Categories,0))," "))</f>
        <v xml:space="preserve"> </v>
      </c>
      <c r="G23" s="73" t="str">
        <f ca="1">IF(AND(G$5&gt;=Forecast_Start_Date,$A23&gt;0),IF($C23="Revenue Model",INDEX(Revenue_Forecast_Array,MATCH(G$5,Revenue_Model_Months,0)),IF($C23="% of Sales",$D23*G$16,IF($C23="Payroll Model",SUMIFS('Payroll Model'!J:J,Payroll_Mappings,'Operating Model'!$A23),IF($C23="Continue Last Month",F23," ")))),IF($A23&gt;0,INDEX(INDIRECT(G$1),MATCH($A23,Profit_and_Loss_Categories,0))," "))</f>
        <v xml:space="preserve"> </v>
      </c>
      <c r="H23" s="73" t="str">
        <f ca="1">IF(AND(H$5&gt;=Forecast_Start_Date,$A23&gt;0),IF($C23="Revenue Model",INDEX(Revenue_Forecast_Array,MATCH(H$5,Revenue_Model_Months,0)),IF($C23="% of Sales",$D23*H$16,IF($C23="Payroll Model",SUMIFS('Payroll Model'!K:K,Payroll_Mappings,'Operating Model'!$A23),IF($C23="Continue Last Month",G23," ")))),IF($A23&gt;0,INDEX(INDIRECT(H$1),MATCH($A23,Profit_and_Loss_Categories,0))," "))</f>
        <v xml:space="preserve"> </v>
      </c>
      <c r="I23" s="68" t="str">
        <f ca="1">IF(AND(I$5&gt;=Forecast_Start_Date,$A23&gt;0),IF($C23="Revenue Model",INDEX(Revenue_Forecast_Array,MATCH(I$5,Revenue_Model_Months,0)),IF($C23="% of Sales",$D23*I$16,IF($C23="Payroll Model",SUMIFS('Payroll Model'!L:L,Payroll_Mappings,'Operating Model'!$A23),IF($C23="Continue Last Month",H23," ")))),IF($A23&gt;0,INDEX(INDIRECT(I$1),MATCH($A23,Profit_and_Loss_Categories,0))," "))</f>
        <v xml:space="preserve"> </v>
      </c>
      <c r="J23" s="68" t="str">
        <f ca="1">IF(AND(J$5&gt;=Forecast_Start_Date,$A23&gt;0),IF($C23="Revenue Model",INDEX(Revenue_Forecast_Array,MATCH(J$5,Revenue_Model_Months,0)),IF($C23="% of Sales",$D23*J$16,IF($C23="Payroll Model",SUMIFS('Payroll Model'!M:M,Payroll_Mappings,'Operating Model'!$A23),IF($C23="Continue Last Month",I23," ")))),IF($A23&gt;0,INDEX(INDIRECT(J$1),MATCH($A23,Profit_and_Loss_Categories,0))," "))</f>
        <v xml:space="preserve"> </v>
      </c>
      <c r="K23" s="68" t="str">
        <f ca="1">IF(AND(K$5&gt;=Forecast_Start_Date,$A23&gt;0),IF($C23="Revenue Model",INDEX(Revenue_Forecast_Array,MATCH(K$5,Revenue_Model_Months,0)),IF($C23="% of Sales",$D23*K$16,IF($C23="Payroll Model",SUMIFS('Payroll Model'!N:N,Payroll_Mappings,'Operating Model'!$A23),IF($C23="Continue Last Month",J23," ")))),IF($A23&gt;0,INDEX(INDIRECT(K$1),MATCH($A23,Profit_and_Loss_Categories,0))," "))</f>
        <v xml:space="preserve"> </v>
      </c>
      <c r="L23" s="68" t="str">
        <f ca="1">IF(AND(L$5&gt;=Forecast_Start_Date,$A23&gt;0),IF($C23="Revenue Model",INDEX(Revenue_Forecast_Array,MATCH(L$5,Revenue_Model_Months,0)),IF($C23="% of Sales",$D23*L$16,IF($C23="Payroll Model",SUMIFS('Payroll Model'!O:O,Payroll_Mappings,'Operating Model'!$A23),IF($C23="Continue Last Month",K23," ")))),IF($A23&gt;0,INDEX(INDIRECT(L$1),MATCH($A23,Profit_and_Loss_Categories,0))," "))</f>
        <v xml:space="preserve"> </v>
      </c>
      <c r="M23" s="68" t="str">
        <f ca="1">IF(AND(M$5&gt;=Forecast_Start_Date,$A23&gt;0),IF($C23="Revenue Model",INDEX(Revenue_Forecast_Array,MATCH(M$5,Revenue_Model_Months,0)),IF($C23="% of Sales",$D23*M$16,IF($C23="Payroll Model",SUMIFS('Payroll Model'!P:P,Payroll_Mappings,'Operating Model'!$A23),IF($C23="Continue Last Month",L23," ")))),IF($A23&gt;0,INDEX(INDIRECT(M$1),MATCH($A23,Profit_and_Loss_Categories,0))," "))</f>
        <v xml:space="preserve"> </v>
      </c>
      <c r="N23" s="68" t="str">
        <f ca="1">IF(AND(N$5&gt;=Forecast_Start_Date,$A23&gt;0),IF($C23="Revenue Model",INDEX(Revenue_Forecast_Array,MATCH(N$5,Revenue_Model_Months,0)),IF($C23="% of Sales",$D23*N$16,IF($C23="Payroll Model",SUMIFS('Payroll Model'!Q:Q,Payroll_Mappings,'Operating Model'!$A23),IF($C23="Continue Last Month",M23," ")))),IF($A23&gt;0,INDEX(INDIRECT(N$1),MATCH($A23,Profit_and_Loss_Categories,0))," "))</f>
        <v xml:space="preserve"> </v>
      </c>
      <c r="O23" s="68" t="str">
        <f ca="1">IF(AND(O$5&gt;=Forecast_Start_Date,$A23&gt;0),IF($C23="Revenue Model",INDEX(Revenue_Forecast_Array,MATCH(O$5,Revenue_Model_Months,0)),IF($C23="% of Sales",$D23*O$16,IF($C23="Payroll Model",SUMIFS('Payroll Model'!R:R,Payroll_Mappings,'Operating Model'!$A23),IF($C23="Continue Last Month",N23," ")))),IF($A23&gt;0,INDEX(INDIRECT(O$1),MATCH($A23,Profit_and_Loss_Categories,0))," "))</f>
        <v xml:space="preserve"> </v>
      </c>
      <c r="P23" s="68" t="str">
        <f ca="1">IF(AND(P$5&gt;=Forecast_Start_Date,$A23&gt;0),IF($C23="Revenue Model",INDEX(Revenue_Forecast_Array,MATCH(P$5,Revenue_Model_Months,0)),IF($C23="% of Sales",$D23*P$16,IF($C23="Payroll Model",SUMIFS('Payroll Model'!S:S,Payroll_Mappings,'Operating Model'!$A23),IF($C23="Continue Last Month",O23," ")))),IF($A23&gt;0,INDEX(INDIRECT(P$1),MATCH($A23,Profit_and_Loss_Categories,0))," "))</f>
        <v xml:space="preserve"> </v>
      </c>
      <c r="Q23" s="68" t="str">
        <f ca="1">IF(AND(Q$5&gt;=Forecast_Start_Date,$A23&gt;0),IF($C23="Revenue Model",INDEX(Revenue_Forecast_Array,MATCH(Q$5,Revenue_Model_Months,0)),IF($C23="% of Sales",$D23*Q$16,IF($C23="Payroll Model",SUMIFS('Payroll Model'!T:T,Payroll_Mappings,'Operating Model'!$A23),IF($C23="Continue Last Month",P23," ")))),IF($A23&gt;0,INDEX(INDIRECT(Q$1),MATCH($A23,Profit_and_Loss_Categories,0))," "))</f>
        <v xml:space="preserve"> </v>
      </c>
    </row>
    <row r="24" spans="1:17" x14ac:dyDescent="0.2">
      <c r="A24" s="121">
        <v>0</v>
      </c>
      <c r="C24" s="66" t="s">
        <v>101</v>
      </c>
      <c r="D24" s="103" t="str">
        <f t="shared" si="3"/>
        <v xml:space="preserve"> </v>
      </c>
      <c r="F24" s="73" t="str">
        <f ca="1">IF(AND(F$5&gt;=Forecast_Start_Date,$A24&gt;0),IF($C24="Revenue Model",INDEX(Revenue_Forecast_Array,MATCH(F$5,Revenue_Model_Months,0)),IF($C24="% of Sales",$D24*F$16,IF($C24="Payroll Model",SUMIFS('Payroll Model'!I:I,Payroll_Mappings,'Operating Model'!$A24),IF($C24="Continue Last Month",E24," ")))),IF($A24&gt;0,INDEX(INDIRECT(F$1),MATCH($A24,Profit_and_Loss_Categories,0))," "))</f>
        <v xml:space="preserve"> </v>
      </c>
      <c r="G24" s="73" t="str">
        <f ca="1">IF(AND(G$5&gt;=Forecast_Start_Date,$A24&gt;0),IF($C24="Revenue Model",INDEX(Revenue_Forecast_Array,MATCH(G$5,Revenue_Model_Months,0)),IF($C24="% of Sales",$D24*G$16,IF($C24="Payroll Model",SUMIFS('Payroll Model'!J:J,Payroll_Mappings,'Operating Model'!$A24),IF($C24="Continue Last Month",F24," ")))),IF($A24&gt;0,INDEX(INDIRECT(G$1),MATCH($A24,Profit_and_Loss_Categories,0))," "))</f>
        <v xml:space="preserve"> </v>
      </c>
      <c r="H24" s="73" t="str">
        <f ca="1">IF(AND(H$5&gt;=Forecast_Start_Date,$A24&gt;0),IF($C24="Revenue Model",INDEX(Revenue_Forecast_Array,MATCH(H$5,Revenue_Model_Months,0)),IF($C24="% of Sales",$D24*H$16,IF($C24="Payroll Model",SUMIFS('Payroll Model'!K:K,Payroll_Mappings,'Operating Model'!$A24),IF($C24="Continue Last Month",G24," ")))),IF($A24&gt;0,INDEX(INDIRECT(H$1),MATCH($A24,Profit_and_Loss_Categories,0))," "))</f>
        <v xml:space="preserve"> </v>
      </c>
      <c r="I24" s="68" t="str">
        <f ca="1">IF(AND(I$5&gt;=Forecast_Start_Date,$A24&gt;0),IF($C24="Revenue Model",INDEX(Revenue_Forecast_Array,MATCH(I$5,Revenue_Model_Months,0)),IF($C24="% of Sales",$D24*I$16,IF($C24="Payroll Model",SUMIFS('Payroll Model'!L:L,Payroll_Mappings,'Operating Model'!$A24),IF($C24="Continue Last Month",H24," ")))),IF($A24&gt;0,INDEX(INDIRECT(I$1),MATCH($A24,Profit_and_Loss_Categories,0))," "))</f>
        <v xml:space="preserve"> </v>
      </c>
      <c r="J24" s="68" t="str">
        <f ca="1">IF(AND(J$5&gt;=Forecast_Start_Date,$A24&gt;0),IF($C24="Revenue Model",INDEX(Revenue_Forecast_Array,MATCH(J$5,Revenue_Model_Months,0)),IF($C24="% of Sales",$D24*J$16,IF($C24="Payroll Model",SUMIFS('Payroll Model'!M:M,Payroll_Mappings,'Operating Model'!$A24),IF($C24="Continue Last Month",I24," ")))),IF($A24&gt;0,INDEX(INDIRECT(J$1),MATCH($A24,Profit_and_Loss_Categories,0))," "))</f>
        <v xml:space="preserve"> </v>
      </c>
      <c r="K24" s="68" t="str">
        <f ca="1">IF(AND(K$5&gt;=Forecast_Start_Date,$A24&gt;0),IF($C24="Revenue Model",INDEX(Revenue_Forecast_Array,MATCH(K$5,Revenue_Model_Months,0)),IF($C24="% of Sales",$D24*K$16,IF($C24="Payroll Model",SUMIFS('Payroll Model'!N:N,Payroll_Mappings,'Operating Model'!$A24),IF($C24="Continue Last Month",J24," ")))),IF($A24&gt;0,INDEX(INDIRECT(K$1),MATCH($A24,Profit_and_Loss_Categories,0))," "))</f>
        <v xml:space="preserve"> </v>
      </c>
      <c r="L24" s="68" t="str">
        <f ca="1">IF(AND(L$5&gt;=Forecast_Start_Date,$A24&gt;0),IF($C24="Revenue Model",INDEX(Revenue_Forecast_Array,MATCH(L$5,Revenue_Model_Months,0)),IF($C24="% of Sales",$D24*L$16,IF($C24="Payroll Model",SUMIFS('Payroll Model'!O:O,Payroll_Mappings,'Operating Model'!$A24),IF($C24="Continue Last Month",K24," ")))),IF($A24&gt;0,INDEX(INDIRECT(L$1),MATCH($A24,Profit_and_Loss_Categories,0))," "))</f>
        <v xml:space="preserve"> </v>
      </c>
      <c r="M24" s="68" t="str">
        <f ca="1">IF(AND(M$5&gt;=Forecast_Start_Date,$A24&gt;0),IF($C24="Revenue Model",INDEX(Revenue_Forecast_Array,MATCH(M$5,Revenue_Model_Months,0)),IF($C24="% of Sales",$D24*M$16,IF($C24="Payroll Model",SUMIFS('Payroll Model'!P:P,Payroll_Mappings,'Operating Model'!$A24),IF($C24="Continue Last Month",L24," ")))),IF($A24&gt;0,INDEX(INDIRECT(M$1),MATCH($A24,Profit_and_Loss_Categories,0))," "))</f>
        <v xml:space="preserve"> </v>
      </c>
      <c r="N24" s="68" t="str">
        <f ca="1">IF(AND(N$5&gt;=Forecast_Start_Date,$A24&gt;0),IF($C24="Revenue Model",INDEX(Revenue_Forecast_Array,MATCH(N$5,Revenue_Model_Months,0)),IF($C24="% of Sales",$D24*N$16,IF($C24="Payroll Model",SUMIFS('Payroll Model'!Q:Q,Payroll_Mappings,'Operating Model'!$A24),IF($C24="Continue Last Month",M24," ")))),IF($A24&gt;0,INDEX(INDIRECT(N$1),MATCH($A24,Profit_and_Loss_Categories,0))," "))</f>
        <v xml:space="preserve"> </v>
      </c>
      <c r="O24" s="68" t="str">
        <f ca="1">IF(AND(O$5&gt;=Forecast_Start_Date,$A24&gt;0),IF($C24="Revenue Model",INDEX(Revenue_Forecast_Array,MATCH(O$5,Revenue_Model_Months,0)),IF($C24="% of Sales",$D24*O$16,IF($C24="Payroll Model",SUMIFS('Payroll Model'!R:R,Payroll_Mappings,'Operating Model'!$A24),IF($C24="Continue Last Month",N24," ")))),IF($A24&gt;0,INDEX(INDIRECT(O$1),MATCH($A24,Profit_and_Loss_Categories,0))," "))</f>
        <v xml:space="preserve"> </v>
      </c>
      <c r="P24" s="68" t="str">
        <f ca="1">IF(AND(P$5&gt;=Forecast_Start_Date,$A24&gt;0),IF($C24="Revenue Model",INDEX(Revenue_Forecast_Array,MATCH(P$5,Revenue_Model_Months,0)),IF($C24="% of Sales",$D24*P$16,IF($C24="Payroll Model",SUMIFS('Payroll Model'!S:S,Payroll_Mappings,'Operating Model'!$A24),IF($C24="Continue Last Month",O24," ")))),IF($A24&gt;0,INDEX(INDIRECT(P$1),MATCH($A24,Profit_and_Loss_Categories,0))," "))</f>
        <v xml:space="preserve"> </v>
      </c>
      <c r="Q24" s="68" t="str">
        <f ca="1">IF(AND(Q$5&gt;=Forecast_Start_Date,$A24&gt;0),IF($C24="Revenue Model",INDEX(Revenue_Forecast_Array,MATCH(Q$5,Revenue_Model_Months,0)),IF($C24="% of Sales",$D24*Q$16,IF($C24="Payroll Model",SUMIFS('Payroll Model'!T:T,Payroll_Mappings,'Operating Model'!$A24),IF($C24="Continue Last Month",P24," ")))),IF($A24&gt;0,INDEX(INDIRECT(Q$1),MATCH($A24,Profit_and_Loss_Categories,0))," "))</f>
        <v xml:space="preserve"> </v>
      </c>
    </row>
    <row r="25" spans="1:17" x14ac:dyDescent="0.2">
      <c r="A25" s="116"/>
      <c r="C25" s="66" t="s">
        <v>101</v>
      </c>
      <c r="D25" s="103" t="str">
        <f t="shared" si="3"/>
        <v xml:space="preserve"> </v>
      </c>
      <c r="F25" s="73" t="str">
        <f ca="1">IF(AND(F$5&gt;=Forecast_Start_Date,$A25&gt;0),IF($C25="Revenue Model",INDEX(Revenue_Forecast_Array,MATCH(F$5,Revenue_Model_Months,0)),IF($C25="% of Sales",$D25*F$16,IF($C25="Payroll Model",SUMIFS('Payroll Model'!I:I,Payroll_Mappings,'Operating Model'!$A25),IF($C25="Continue Last Month",E25," ")))),IF($A25&gt;0,INDEX(INDIRECT(F$1),MATCH($A25,Profit_and_Loss_Categories,0))," "))</f>
        <v xml:space="preserve"> </v>
      </c>
      <c r="G25" s="73" t="str">
        <f ca="1">IF(AND(G$5&gt;=Forecast_Start_Date,$A25&gt;0),IF($C25="Revenue Model",INDEX(Revenue_Forecast_Array,MATCH(G$5,Revenue_Model_Months,0)),IF($C25="% of Sales",$D25*G$16,IF($C25="Payroll Model",SUMIFS('Payroll Model'!J:J,Payroll_Mappings,'Operating Model'!$A25),IF($C25="Continue Last Month",F25," ")))),IF($A25&gt;0,INDEX(INDIRECT(G$1),MATCH($A25,Profit_and_Loss_Categories,0))," "))</f>
        <v xml:space="preserve"> </v>
      </c>
      <c r="H25" s="73" t="str">
        <f ca="1">IF(AND(H$5&gt;=Forecast_Start_Date,$A25&gt;0),IF($C25="Revenue Model",INDEX(Revenue_Forecast_Array,MATCH(H$5,Revenue_Model_Months,0)),IF($C25="% of Sales",$D25*H$16,IF($C25="Payroll Model",SUMIFS('Payroll Model'!K:K,Payroll_Mappings,'Operating Model'!$A25),IF($C25="Continue Last Month",G25," ")))),IF($A25&gt;0,INDEX(INDIRECT(H$1),MATCH($A25,Profit_and_Loss_Categories,0))," "))</f>
        <v xml:space="preserve"> </v>
      </c>
      <c r="I25" s="68" t="str">
        <f ca="1">IF(AND(I$5&gt;=Forecast_Start_Date,$A25&gt;0),IF($C25="Revenue Model",INDEX(Revenue_Forecast_Array,MATCH(I$5,Revenue_Model_Months,0)),IF($C25="% of Sales",$D25*I$16,IF($C25="Payroll Model",SUMIFS('Payroll Model'!L:L,Payroll_Mappings,'Operating Model'!$A25),IF($C25="Continue Last Month",H25," ")))),IF($A25&gt;0,INDEX(INDIRECT(I$1),MATCH($A25,Profit_and_Loss_Categories,0))," "))</f>
        <v xml:space="preserve"> </v>
      </c>
      <c r="J25" s="68" t="str">
        <f ca="1">IF(AND(J$5&gt;=Forecast_Start_Date,$A25&gt;0),IF($C25="Revenue Model",INDEX(Revenue_Forecast_Array,MATCH(J$5,Revenue_Model_Months,0)),IF($C25="% of Sales",$D25*J$16,IF($C25="Payroll Model",SUMIFS('Payroll Model'!M:M,Payroll_Mappings,'Operating Model'!$A25),IF($C25="Continue Last Month",I25," ")))),IF($A25&gt;0,INDEX(INDIRECT(J$1),MATCH($A25,Profit_and_Loss_Categories,0))," "))</f>
        <v xml:space="preserve"> </v>
      </c>
      <c r="K25" s="68" t="str">
        <f ca="1">IF(AND(K$5&gt;=Forecast_Start_Date,$A25&gt;0),IF($C25="Revenue Model",INDEX(Revenue_Forecast_Array,MATCH(K$5,Revenue_Model_Months,0)),IF($C25="% of Sales",$D25*K$16,IF($C25="Payroll Model",SUMIFS('Payroll Model'!N:N,Payroll_Mappings,'Operating Model'!$A25),IF($C25="Continue Last Month",J25," ")))),IF($A25&gt;0,INDEX(INDIRECT(K$1),MATCH($A25,Profit_and_Loss_Categories,0))," "))</f>
        <v xml:space="preserve"> </v>
      </c>
      <c r="L25" s="68" t="str">
        <f ca="1">IF(AND(L$5&gt;=Forecast_Start_Date,$A25&gt;0),IF($C25="Revenue Model",INDEX(Revenue_Forecast_Array,MATCH(L$5,Revenue_Model_Months,0)),IF($C25="% of Sales",$D25*L$16,IF($C25="Payroll Model",SUMIFS('Payroll Model'!O:O,Payroll_Mappings,'Operating Model'!$A25),IF($C25="Continue Last Month",K25," ")))),IF($A25&gt;0,INDEX(INDIRECT(L$1),MATCH($A25,Profit_and_Loss_Categories,0))," "))</f>
        <v xml:space="preserve"> </v>
      </c>
      <c r="M25" s="68" t="str">
        <f ca="1">IF(AND(M$5&gt;=Forecast_Start_Date,$A25&gt;0),IF($C25="Revenue Model",INDEX(Revenue_Forecast_Array,MATCH(M$5,Revenue_Model_Months,0)),IF($C25="% of Sales",$D25*M$16,IF($C25="Payroll Model",SUMIFS('Payroll Model'!P:P,Payroll_Mappings,'Operating Model'!$A25),IF($C25="Continue Last Month",L25," ")))),IF($A25&gt;0,INDEX(INDIRECT(M$1),MATCH($A25,Profit_and_Loss_Categories,0))," "))</f>
        <v xml:space="preserve"> </v>
      </c>
      <c r="N25" s="68" t="str">
        <f ca="1">IF(AND(N$5&gt;=Forecast_Start_Date,$A25&gt;0),IF($C25="Revenue Model",INDEX(Revenue_Forecast_Array,MATCH(N$5,Revenue_Model_Months,0)),IF($C25="% of Sales",$D25*N$16,IF($C25="Payroll Model",SUMIFS('Payroll Model'!Q:Q,Payroll_Mappings,'Operating Model'!$A25),IF($C25="Continue Last Month",M25," ")))),IF($A25&gt;0,INDEX(INDIRECT(N$1),MATCH($A25,Profit_and_Loss_Categories,0))," "))</f>
        <v xml:space="preserve"> </v>
      </c>
      <c r="O25" s="68" t="str">
        <f ca="1">IF(AND(O$5&gt;=Forecast_Start_Date,$A25&gt;0),IF($C25="Revenue Model",INDEX(Revenue_Forecast_Array,MATCH(O$5,Revenue_Model_Months,0)),IF($C25="% of Sales",$D25*O$16,IF($C25="Payroll Model",SUMIFS('Payroll Model'!R:R,Payroll_Mappings,'Operating Model'!$A25),IF($C25="Continue Last Month",N25," ")))),IF($A25&gt;0,INDEX(INDIRECT(O$1),MATCH($A25,Profit_and_Loss_Categories,0))," "))</f>
        <v xml:space="preserve"> </v>
      </c>
      <c r="P25" s="68" t="str">
        <f ca="1">IF(AND(P$5&gt;=Forecast_Start_Date,$A25&gt;0),IF($C25="Revenue Model",INDEX(Revenue_Forecast_Array,MATCH(P$5,Revenue_Model_Months,0)),IF($C25="% of Sales",$D25*P$16,IF($C25="Payroll Model",SUMIFS('Payroll Model'!S:S,Payroll_Mappings,'Operating Model'!$A25),IF($C25="Continue Last Month",O25," ")))),IF($A25&gt;0,INDEX(INDIRECT(P$1),MATCH($A25,Profit_and_Loss_Categories,0))," "))</f>
        <v xml:space="preserve"> </v>
      </c>
      <c r="Q25" s="68" t="str">
        <f ca="1">IF(AND(Q$5&gt;=Forecast_Start_Date,$A25&gt;0),IF($C25="Revenue Model",INDEX(Revenue_Forecast_Array,MATCH(Q$5,Revenue_Model_Months,0)),IF($C25="% of Sales",$D25*Q$16,IF($C25="Payroll Model",SUMIFS('Payroll Model'!T:T,Payroll_Mappings,'Operating Model'!$A25),IF($C25="Continue Last Month",P25," ")))),IF($A25&gt;0,INDEX(INDIRECT(Q$1),MATCH($A25,Profit_and_Loss_Categories,0))," "))</f>
        <v xml:space="preserve"> </v>
      </c>
    </row>
    <row r="26" spans="1:17" x14ac:dyDescent="0.2">
      <c r="A26" s="116"/>
      <c r="C26" s="66" t="s">
        <v>101</v>
      </c>
      <c r="D26" s="103" t="str">
        <f t="shared" si="3"/>
        <v xml:space="preserve"> </v>
      </c>
      <c r="F26" s="73" t="str">
        <f ca="1">IF(AND(F$5&gt;=Forecast_Start_Date,$A26&gt;0),IF($C26="Revenue Model",INDEX(Revenue_Forecast_Array,MATCH(F$5,Revenue_Model_Months,0)),IF($C26="% of Sales",$D26*F$16,IF($C26="Payroll Model",SUMIFS('Payroll Model'!I:I,Payroll_Mappings,'Operating Model'!$A26),IF($C26="Continue Last Month",E26," ")))),IF($A26&gt;0,INDEX(INDIRECT(F$1),MATCH($A26,Profit_and_Loss_Categories,0))," "))</f>
        <v xml:space="preserve"> </v>
      </c>
      <c r="G26" s="73" t="str">
        <f ca="1">IF(AND(G$5&gt;=Forecast_Start_Date,$A26&gt;0),IF($C26="Revenue Model",INDEX(Revenue_Forecast_Array,MATCH(G$5,Revenue_Model_Months,0)),IF($C26="% of Sales",$D26*G$16,IF($C26="Payroll Model",SUMIFS('Payroll Model'!J:J,Payroll_Mappings,'Operating Model'!$A26),IF($C26="Continue Last Month",F26," ")))),IF($A26&gt;0,INDEX(INDIRECT(G$1),MATCH($A26,Profit_and_Loss_Categories,0))," "))</f>
        <v xml:space="preserve"> </v>
      </c>
      <c r="H26" s="73" t="str">
        <f ca="1">IF(AND(H$5&gt;=Forecast_Start_Date,$A26&gt;0),IF($C26="Revenue Model",INDEX(Revenue_Forecast_Array,MATCH(H$5,Revenue_Model_Months,0)),IF($C26="% of Sales",$D26*H$16,IF($C26="Payroll Model",SUMIFS('Payroll Model'!K:K,Payroll_Mappings,'Operating Model'!$A26),IF($C26="Continue Last Month",G26," ")))),IF($A26&gt;0,INDEX(INDIRECT(H$1),MATCH($A26,Profit_and_Loss_Categories,0))," "))</f>
        <v xml:space="preserve"> </v>
      </c>
      <c r="I26" s="68" t="str">
        <f ca="1">IF(AND(I$5&gt;=Forecast_Start_Date,$A26&gt;0),IF($C26="Revenue Model",INDEX(Revenue_Forecast_Array,MATCH(I$5,Revenue_Model_Months,0)),IF($C26="% of Sales",$D26*I$16,IF($C26="Payroll Model",SUMIFS('Payroll Model'!L:L,Payroll_Mappings,'Operating Model'!$A26),IF($C26="Continue Last Month",H26," ")))),IF($A26&gt;0,INDEX(INDIRECT(I$1),MATCH($A26,Profit_and_Loss_Categories,0))," "))</f>
        <v xml:space="preserve"> </v>
      </c>
      <c r="J26" s="68" t="str">
        <f ca="1">IF(AND(J$5&gt;=Forecast_Start_Date,$A26&gt;0),IF($C26="Revenue Model",INDEX(Revenue_Forecast_Array,MATCH(J$5,Revenue_Model_Months,0)),IF($C26="% of Sales",$D26*J$16,IF($C26="Payroll Model",SUMIFS('Payroll Model'!M:M,Payroll_Mappings,'Operating Model'!$A26),IF($C26="Continue Last Month",I26," ")))),IF($A26&gt;0,INDEX(INDIRECT(J$1),MATCH($A26,Profit_and_Loss_Categories,0))," "))</f>
        <v xml:space="preserve"> </v>
      </c>
      <c r="K26" s="68" t="str">
        <f ca="1">IF(AND(K$5&gt;=Forecast_Start_Date,$A26&gt;0),IF($C26="Revenue Model",INDEX(Revenue_Forecast_Array,MATCH(K$5,Revenue_Model_Months,0)),IF($C26="% of Sales",$D26*K$16,IF($C26="Payroll Model",SUMIFS('Payroll Model'!N:N,Payroll_Mappings,'Operating Model'!$A26),IF($C26="Continue Last Month",J26," ")))),IF($A26&gt;0,INDEX(INDIRECT(K$1),MATCH($A26,Profit_and_Loss_Categories,0))," "))</f>
        <v xml:space="preserve"> </v>
      </c>
      <c r="L26" s="68" t="str">
        <f ca="1">IF(AND(L$5&gt;=Forecast_Start_Date,$A26&gt;0),IF($C26="Revenue Model",INDEX(Revenue_Forecast_Array,MATCH(L$5,Revenue_Model_Months,0)),IF($C26="% of Sales",$D26*L$16,IF($C26="Payroll Model",SUMIFS('Payroll Model'!O:O,Payroll_Mappings,'Operating Model'!$A26),IF($C26="Continue Last Month",K26," ")))),IF($A26&gt;0,INDEX(INDIRECT(L$1),MATCH($A26,Profit_and_Loss_Categories,0))," "))</f>
        <v xml:space="preserve"> </v>
      </c>
      <c r="M26" s="68" t="str">
        <f ca="1">IF(AND(M$5&gt;=Forecast_Start_Date,$A26&gt;0),IF($C26="Revenue Model",INDEX(Revenue_Forecast_Array,MATCH(M$5,Revenue_Model_Months,0)),IF($C26="% of Sales",$D26*M$16,IF($C26="Payroll Model",SUMIFS('Payroll Model'!P:P,Payroll_Mappings,'Operating Model'!$A26),IF($C26="Continue Last Month",L26," ")))),IF($A26&gt;0,INDEX(INDIRECT(M$1),MATCH($A26,Profit_and_Loss_Categories,0))," "))</f>
        <v xml:space="preserve"> </v>
      </c>
      <c r="N26" s="68" t="str">
        <f ca="1">IF(AND(N$5&gt;=Forecast_Start_Date,$A26&gt;0),IF($C26="Revenue Model",INDEX(Revenue_Forecast_Array,MATCH(N$5,Revenue_Model_Months,0)),IF($C26="% of Sales",$D26*N$16,IF($C26="Payroll Model",SUMIFS('Payroll Model'!Q:Q,Payroll_Mappings,'Operating Model'!$A26),IF($C26="Continue Last Month",M26," ")))),IF($A26&gt;0,INDEX(INDIRECT(N$1),MATCH($A26,Profit_and_Loss_Categories,0))," "))</f>
        <v xml:space="preserve"> </v>
      </c>
      <c r="O26" s="68" t="str">
        <f ca="1">IF(AND(O$5&gt;=Forecast_Start_Date,$A26&gt;0),IF($C26="Revenue Model",INDEX(Revenue_Forecast_Array,MATCH(O$5,Revenue_Model_Months,0)),IF($C26="% of Sales",$D26*O$16,IF($C26="Payroll Model",SUMIFS('Payroll Model'!R:R,Payroll_Mappings,'Operating Model'!$A26),IF($C26="Continue Last Month",N26," ")))),IF($A26&gt;0,INDEX(INDIRECT(O$1),MATCH($A26,Profit_and_Loss_Categories,0))," "))</f>
        <v xml:space="preserve"> </v>
      </c>
      <c r="P26" s="68" t="str">
        <f ca="1">IF(AND(P$5&gt;=Forecast_Start_Date,$A26&gt;0),IF($C26="Revenue Model",INDEX(Revenue_Forecast_Array,MATCH(P$5,Revenue_Model_Months,0)),IF($C26="% of Sales",$D26*P$16,IF($C26="Payroll Model",SUMIFS('Payroll Model'!S:S,Payroll_Mappings,'Operating Model'!$A26),IF($C26="Continue Last Month",O26," ")))),IF($A26&gt;0,INDEX(INDIRECT(P$1),MATCH($A26,Profit_and_Loss_Categories,0))," "))</f>
        <v xml:space="preserve"> </v>
      </c>
      <c r="Q26" s="68" t="str">
        <f ca="1">IF(AND(Q$5&gt;=Forecast_Start_Date,$A26&gt;0),IF($C26="Revenue Model",INDEX(Revenue_Forecast_Array,MATCH(Q$5,Revenue_Model_Months,0)),IF($C26="% of Sales",$D26*Q$16,IF($C26="Payroll Model",SUMIFS('Payroll Model'!T:T,Payroll_Mappings,'Operating Model'!$A26),IF($C26="Continue Last Month",P26," ")))),IF($A26&gt;0,INDEX(INDIRECT(Q$1),MATCH($A26,Profit_and_Loss_Categories,0))," "))</f>
        <v xml:space="preserve"> </v>
      </c>
    </row>
    <row r="27" spans="1:17" ht="0.75" customHeight="1" x14ac:dyDescent="0.2">
      <c r="A27" s="74"/>
      <c r="D27" s="103" t="str">
        <f t="shared" si="3"/>
        <v xml:space="preserve"> </v>
      </c>
      <c r="F27" s="69" t="str">
        <f ca="1">IF(AND(F$5&gt;=Forecast_Start_Date,$A27&gt;0),IF($C27="Revenue Model",INDEX(Revenue_Forecast_Array,MATCH(F$5,Revenue_Model_Months,0)),IF($C27="% of Sales",$D27*F$16,IF($C27="Payroll Model",SUMIFS('Payroll Model'!I:I,Payroll_Mappings,'Operating Model'!$A27),IF($C27="Continue Last Month",E27," ")))),IF($A27&gt;0,INDEX(INDIRECT(F$1),MATCH($A27,Profit_and_Loss_Categories,0))," "))</f>
        <v xml:space="preserve"> </v>
      </c>
      <c r="G27" s="69" t="str">
        <f ca="1">IF(AND(G$5&gt;=Forecast_Start_Date,$A27&gt;0),IF($C27="Revenue Model",INDEX(Revenue_Forecast_Array,MATCH(G$5,Revenue_Model_Months,0)),IF($C27="% of Sales",$D27*G$16,IF($C27="Payroll Model",SUMIFS('Payroll Model'!J:J,Payroll_Mappings,'Operating Model'!$A27),IF($C27="Continue Last Month",F27," ")))),IF($A27&gt;0,INDEX(INDIRECT(G$1),MATCH($A27,Profit_and_Loss_Categories,0))," "))</f>
        <v xml:space="preserve"> </v>
      </c>
      <c r="H27" s="69" t="str">
        <f ca="1">IF(AND(H$5&gt;=Forecast_Start_Date,$A27&gt;0),IF($C27="Revenue Model",INDEX(Revenue_Forecast_Array,MATCH(H$5,Revenue_Model_Months,0)),IF($C27="% of Sales",$D27*H$16,IF($C27="Payroll Model",SUMIFS('Payroll Model'!K:K,Payroll_Mappings,'Operating Model'!$A27),IF($C27="Continue Last Month",G27," ")))),IF($A27&gt;0,INDEX(INDIRECT(H$1),MATCH($A27,Profit_and_Loss_Categories,0))," "))</f>
        <v xml:space="preserve"> </v>
      </c>
      <c r="I27" s="68" t="str">
        <f ca="1">IF(AND(I$5&gt;=Forecast_Start_Date,$A27&gt;0),IF($C27="Revenue Model",INDEX(Revenue_Forecast_Array,MATCH(I$5,Revenue_Model_Months,0)),IF($C27="% of Sales",$D27*I$16,IF($C27="Payroll Model",SUMIFS('Payroll Model'!L:L,Payroll_Mappings,'Operating Model'!$A27),IF($C27="Continue Last Month",H27," ")))),IF($A27&gt;0,INDEX(INDIRECT(I$1),MATCH($A27,Profit_and_Loss_Categories,0))," "))</f>
        <v xml:space="preserve"> </v>
      </c>
      <c r="J27" s="68" t="str">
        <f ca="1">IF(AND(J$5&gt;=Forecast_Start_Date,$A27&gt;0),IF($C27="Revenue Model",INDEX(Revenue_Forecast_Array,MATCH(J$5,Revenue_Model_Months,0)),IF($C27="% of Sales",$D27*J$16,IF($C27="Payroll Model",SUMIFS('Payroll Model'!M:M,Payroll_Mappings,'Operating Model'!$A27),IF($C27="Continue Last Month",I27," ")))),IF($A27&gt;0,INDEX(INDIRECT(J$1),MATCH($A27,Profit_and_Loss_Categories,0))," "))</f>
        <v xml:space="preserve"> </v>
      </c>
      <c r="K27" s="68" t="str">
        <f ca="1">IF(AND(K$5&gt;=Forecast_Start_Date,$A27&gt;0),IF($C27="Revenue Model",INDEX(Revenue_Forecast_Array,MATCH(K$5,Revenue_Model_Months,0)),IF($C27="% of Sales",$D27*K$16,IF($C27="Payroll Model",SUMIFS('Payroll Model'!N:N,Payroll_Mappings,'Operating Model'!$A27),IF($C27="Continue Last Month",J27," ")))),IF($A27&gt;0,INDEX(INDIRECT(K$1),MATCH($A27,Profit_and_Loss_Categories,0))," "))</f>
        <v xml:space="preserve"> </v>
      </c>
      <c r="L27" s="68" t="str">
        <f ca="1">IF(AND(L$5&gt;=Forecast_Start_Date,$A27&gt;0),IF($C27="Revenue Model",INDEX(Revenue_Forecast_Array,MATCH(L$5,Revenue_Model_Months,0)),IF($C27="% of Sales",$D27*L$16,IF($C27="Payroll Model",SUMIFS('Payroll Model'!O:O,Payroll_Mappings,'Operating Model'!$A27),IF($C27="Continue Last Month",K27," ")))),IF($A27&gt;0,INDEX(INDIRECT(L$1),MATCH($A27,Profit_and_Loss_Categories,0))," "))</f>
        <v xml:space="preserve"> </v>
      </c>
      <c r="M27" s="68" t="str">
        <f ca="1">IF(AND(M$5&gt;=Forecast_Start_Date,$A27&gt;0),IF($C27="Revenue Model",INDEX(Revenue_Forecast_Array,MATCH(M$5,Revenue_Model_Months,0)),IF($C27="% of Sales",$D27*M$16,IF($C27="Payroll Model",SUMIFS('Payroll Model'!P:P,Payroll_Mappings,'Operating Model'!$A27),IF($C27="Continue Last Month",L27," ")))),IF($A27&gt;0,INDEX(INDIRECT(M$1),MATCH($A27,Profit_and_Loss_Categories,0))," "))</f>
        <v xml:space="preserve"> </v>
      </c>
      <c r="N27" s="68" t="str">
        <f ca="1">IF(AND(N$5&gt;=Forecast_Start_Date,$A27&gt;0),IF($C27="Revenue Model",INDEX(Revenue_Forecast_Array,MATCH(N$5,Revenue_Model_Months,0)),IF($C27="% of Sales",$D27*N$16,IF($C27="Payroll Model",SUMIFS('Payroll Model'!Q:Q,Payroll_Mappings,'Operating Model'!$A27),IF($C27="Continue Last Month",M27," ")))),IF($A27&gt;0,INDEX(INDIRECT(N$1),MATCH($A27,Profit_and_Loss_Categories,0))," "))</f>
        <v xml:space="preserve"> </v>
      </c>
      <c r="O27" s="68" t="str">
        <f ca="1">IF(AND(O$5&gt;=Forecast_Start_Date,$A27&gt;0),IF($C27="Revenue Model",INDEX(Revenue_Forecast_Array,MATCH(O$5,Revenue_Model_Months,0)),IF($C27="% of Sales",$D27*O$16,IF($C27="Payroll Model",SUMIFS('Payroll Model'!R:R,Payroll_Mappings,'Operating Model'!$A27),IF($C27="Continue Last Month",N27," ")))),IF($A27&gt;0,INDEX(INDIRECT(O$1),MATCH($A27,Profit_and_Loss_Categories,0))," "))</f>
        <v xml:space="preserve"> </v>
      </c>
      <c r="P27" s="69" t="str">
        <f ca="1">IF(AND(P$5&gt;=Forecast_Start_Date,$A27&gt;0),IF($C27="Revenue Model",INDEX(Revenue_Forecast_Array,MATCH(P$5,Revenue_Model_Months,0)),IF($C27="% of Sales",$D27*P$16,IF($C27="Payroll Model",SUMIFS('Payroll Model'!S:S,Payroll_Mappings,'Operating Model'!$A27),IF($C27="Continue Last Month",O27," ")))),IF($A27&gt;0,INDEX(INDIRECT(P$1),MATCH($A27,Profit_and_Loss_Categories,0))," "))</f>
        <v xml:space="preserve"> </v>
      </c>
      <c r="Q27" s="69" t="str">
        <f ca="1">IF(AND(Q$5&gt;=Forecast_Start_Date,$A27&gt;0),IF($C27="Revenue Model",INDEX(Revenue_Forecast_Array,MATCH(Q$5,Revenue_Model_Months,0)),IF($C27="% of Sales",$D27*Q$16,IF($C27="Payroll Model",SUMIFS('Payroll Model'!T:T,Payroll_Mappings,'Operating Model'!$A27),IF($C27="Continue Last Month",P27," ")))),IF($A27&gt;0,INDEX(INDIRECT(Q$1),MATCH($A27,Profit_and_Loss_Categories,0))," "))</f>
        <v xml:space="preserve"> </v>
      </c>
    </row>
    <row r="28" spans="1:17" s="81" customFormat="1" x14ac:dyDescent="0.2">
      <c r="A28" s="19" t="s">
        <v>11</v>
      </c>
      <c r="B28" s="79"/>
      <c r="C28" s="78"/>
      <c r="D28" s="78"/>
      <c r="E28" s="79"/>
      <c r="F28" s="80">
        <f t="shared" ref="F28:Q28" ca="1" si="4">SUM(F19:F27)</f>
        <v>7740</v>
      </c>
      <c r="G28" s="80">
        <f t="shared" ca="1" si="4"/>
        <v>8740</v>
      </c>
      <c r="H28" s="80">
        <f t="shared" ca="1" si="4"/>
        <v>9740</v>
      </c>
      <c r="I28" s="80">
        <f t="shared" ca="1" si="4"/>
        <v>0</v>
      </c>
      <c r="J28" s="80">
        <f t="shared" ca="1" si="4"/>
        <v>0</v>
      </c>
      <c r="K28" s="80">
        <f t="shared" ca="1" si="4"/>
        <v>0</v>
      </c>
      <c r="L28" s="80">
        <f t="shared" ca="1" si="4"/>
        <v>0</v>
      </c>
      <c r="M28" s="80">
        <f t="shared" ca="1" si="4"/>
        <v>0</v>
      </c>
      <c r="N28" s="80">
        <f t="shared" ca="1" si="4"/>
        <v>0</v>
      </c>
      <c r="O28" s="80">
        <f t="shared" ca="1" si="4"/>
        <v>0</v>
      </c>
      <c r="P28" s="80">
        <f t="shared" ca="1" si="4"/>
        <v>0</v>
      </c>
      <c r="Q28" s="80">
        <f t="shared" ca="1" si="4"/>
        <v>0</v>
      </c>
    </row>
    <row r="29" spans="1:17" s="19" customFormat="1" x14ac:dyDescent="0.2">
      <c r="A29" s="19" t="s">
        <v>3</v>
      </c>
      <c r="B29" s="76"/>
      <c r="C29" s="75"/>
      <c r="D29" s="75"/>
      <c r="E29" s="76"/>
      <c r="F29" s="77">
        <f t="shared" ref="F29:Q29" ca="1" si="5">F16-F28</f>
        <v>7260</v>
      </c>
      <c r="G29" s="77">
        <f t="shared" ca="1" si="5"/>
        <v>11260</v>
      </c>
      <c r="H29" s="77">
        <f t="shared" ca="1" si="5"/>
        <v>15260</v>
      </c>
      <c r="I29" s="77">
        <f t="shared" ca="1" si="5"/>
        <v>0</v>
      </c>
      <c r="J29" s="77">
        <f t="shared" ca="1" si="5"/>
        <v>0</v>
      </c>
      <c r="K29" s="77">
        <f t="shared" ca="1" si="5"/>
        <v>0</v>
      </c>
      <c r="L29" s="77">
        <f t="shared" ca="1" si="5"/>
        <v>0</v>
      </c>
      <c r="M29" s="77">
        <f t="shared" ca="1" si="5"/>
        <v>0</v>
      </c>
      <c r="N29" s="77">
        <f t="shared" ca="1" si="5"/>
        <v>0</v>
      </c>
      <c r="O29" s="77">
        <f t="shared" ca="1" si="5"/>
        <v>0</v>
      </c>
      <c r="P29" s="77">
        <f t="shared" ca="1" si="5"/>
        <v>0</v>
      </c>
      <c r="Q29" s="77">
        <f t="shared" ca="1" si="5"/>
        <v>0</v>
      </c>
    </row>
    <row r="30" spans="1:17" hidden="1" outlineLevel="1" x14ac:dyDescent="0.2">
      <c r="A30" s="83" t="s">
        <v>76</v>
      </c>
      <c r="B30" s="86"/>
      <c r="E30" s="86"/>
      <c r="F30" s="84">
        <f ca="1">INDEX(INDIRECT(F$1),MATCH("Gross Profit",Profit_and_Loss_Categories,0))-F29</f>
        <v>0</v>
      </c>
      <c r="G30" s="84">
        <f ca="1">INDEX(INDIRECT(G$1),MATCH("Gross Profit",Profit_and_Loss_Categories,0))-G29</f>
        <v>0</v>
      </c>
      <c r="H30" s="84">
        <f ca="1">INDEX(INDIRECT(H$1),MATCH("Gross Profit",Profit_and_Loss_Categories,0))-H29</f>
        <v>0</v>
      </c>
      <c r="I30" s="84"/>
      <c r="J30" s="84"/>
      <c r="K30" s="84"/>
      <c r="L30" s="84"/>
      <c r="M30" s="84"/>
      <c r="N30" s="84"/>
      <c r="O30" s="84"/>
      <c r="P30" s="84"/>
      <c r="Q30" s="84"/>
    </row>
    <row r="31" spans="1:17" collapsed="1" x14ac:dyDescent="0.2">
      <c r="A31" s="14" t="s">
        <v>4</v>
      </c>
      <c r="F31" s="73"/>
      <c r="G31" s="69"/>
      <c r="H31" s="69"/>
    </row>
    <row r="32" spans="1:17" x14ac:dyDescent="0.2">
      <c r="A32" s="116" t="s">
        <v>24</v>
      </c>
      <c r="C32" s="66" t="s">
        <v>101</v>
      </c>
      <c r="D32" s="103" t="str">
        <f t="shared" ref="D32:D57" si="6">IF($C32="% of Sales",INDEX(32:32,MATCH(DATE(YEAR(Forecast_Start_Date),MONTH(Forecast_Start_Date)-1,DAY(Forecast_Start_Date)),Operating_Model_Months,0))/INDEX(Total_Income,MATCH(DATE(YEAR(Forecast_Start_Date),MONTH(Forecast_Start_Date)-1,DAY(Forecast_Start_Date)),Operating_Model_Months,0))," ")</f>
        <v xml:space="preserve"> </v>
      </c>
      <c r="F32" s="73">
        <f ca="1">IF(AND(F$5&gt;=Forecast_Start_Date,$A32&gt;0),IF($C32="Revenue Model",INDEX(Revenue_Forecast_Array,MATCH(F$5,Revenue_Model_Months,0)),IF($C32="% of Sales",$D32*F$16,IF($C32="Payroll Model",SUMIFS('Payroll Model'!I:I,Payroll_Mappings,'Operating Model'!$A32),IF($C32="Continue Last Month",E32," ")))),IF($A32&gt;0,INDEX(INDIRECT(F$1),MATCH($A32,Profit_and_Loss_Categories,0))," "))</f>
        <v>20</v>
      </c>
      <c r="G32" s="73">
        <f ca="1">IF(AND(G$5&gt;=Forecast_Start_Date,$A32&gt;0),IF($C32="Revenue Model",INDEX(Revenue_Forecast_Array,MATCH(G$5,Revenue_Model_Months,0)),IF($C32="% of Sales",$D32*G$16,IF($C32="Payroll Model",SUMIFS('Payroll Model'!J:J,Payroll_Mappings,'Operating Model'!$A32),IF($C32="Continue Last Month",F32," ")))),IF($A32&gt;0,INDEX(INDIRECT(G$1),MATCH($A32,Profit_and_Loss_Categories,0))," "))</f>
        <v>20</v>
      </c>
      <c r="H32" s="73">
        <f ca="1">IF(AND(H$5&gt;=Forecast_Start_Date,$A32&gt;0),IF($C32="Revenue Model",INDEX(Revenue_Forecast_Array,MATCH(H$5,Revenue_Model_Months,0)),IF($C32="% of Sales",$D32*H$16,IF($C32="Payroll Model",SUMIFS('Payroll Model'!K:K,Payroll_Mappings,'Operating Model'!$A32),IF($C32="Continue Last Month",G32," ")))),IF($A32&gt;0,INDEX(INDIRECT(H$1),MATCH($A32,Profit_and_Loss_Categories,0))," "))</f>
        <v>20</v>
      </c>
      <c r="I32" s="68">
        <f ca="1">IF(AND(I$5&gt;=Forecast_Start_Date,$A32&gt;0),IF($C32="Revenue Model",INDEX(Revenue_Forecast_Array,MATCH(I$5,Revenue_Model_Months,0)),IF($C32="% of Sales",$D32*I$16,IF($C32="Payroll Model",SUMIFS('Payroll Model'!L:L,Payroll_Mappings,'Operating Model'!$A32),IF($C32="Continue Last Month",H32," ")))),IF($A32&gt;0,INDEX(INDIRECT(I$1),MATCH($A32,Profit_and_Loss_Categories,0))," "))</f>
        <v>0</v>
      </c>
      <c r="J32" s="68">
        <f ca="1">IF(AND(J$5&gt;=Forecast_Start_Date,$A32&gt;0),IF($C32="Revenue Model",INDEX(Revenue_Forecast_Array,MATCH(J$5,Revenue_Model_Months,0)),IF($C32="% of Sales",$D32*J$16,IF($C32="Payroll Model",SUMIFS('Payroll Model'!M:M,Payroll_Mappings,'Operating Model'!$A32),IF($C32="Continue Last Month",I32," ")))),IF($A32&gt;0,INDEX(INDIRECT(J$1),MATCH($A32,Profit_and_Loss_Categories,0))," "))</f>
        <v>0</v>
      </c>
      <c r="K32" s="68">
        <f ca="1">IF(AND(K$5&gt;=Forecast_Start_Date,$A32&gt;0),IF($C32="Revenue Model",INDEX(Revenue_Forecast_Array,MATCH(K$5,Revenue_Model_Months,0)),IF($C32="% of Sales",$D32*K$16,IF($C32="Payroll Model",SUMIFS('Payroll Model'!N:N,Payroll_Mappings,'Operating Model'!$A32),IF($C32="Continue Last Month",J32," ")))),IF($A32&gt;0,INDEX(INDIRECT(K$1),MATCH($A32,Profit_and_Loss_Categories,0))," "))</f>
        <v>0</v>
      </c>
      <c r="L32" s="68">
        <f ca="1">IF(AND(L$5&gt;=Forecast_Start_Date,$A32&gt;0),IF($C32="Revenue Model",INDEX(Revenue_Forecast_Array,MATCH(L$5,Revenue_Model_Months,0)),IF($C32="% of Sales",$D32*L$16,IF($C32="Payroll Model",SUMIFS('Payroll Model'!O:O,Payroll_Mappings,'Operating Model'!$A32),IF($C32="Continue Last Month",K32," ")))),IF($A32&gt;0,INDEX(INDIRECT(L$1),MATCH($A32,Profit_and_Loss_Categories,0))," "))</f>
        <v>0</v>
      </c>
      <c r="M32" s="68">
        <f ca="1">IF(AND(M$5&gt;=Forecast_Start_Date,$A32&gt;0),IF($C32="Revenue Model",INDEX(Revenue_Forecast_Array,MATCH(M$5,Revenue_Model_Months,0)),IF($C32="% of Sales",$D32*M$16,IF($C32="Payroll Model",SUMIFS('Payroll Model'!P:P,Payroll_Mappings,'Operating Model'!$A32),IF($C32="Continue Last Month",L32," ")))),IF($A32&gt;0,INDEX(INDIRECT(M$1),MATCH($A32,Profit_and_Loss_Categories,0))," "))</f>
        <v>0</v>
      </c>
      <c r="N32" s="68">
        <f ca="1">IF(AND(N$5&gt;=Forecast_Start_Date,$A32&gt;0),IF($C32="Revenue Model",INDEX(Revenue_Forecast_Array,MATCH(N$5,Revenue_Model_Months,0)),IF($C32="% of Sales",$D32*N$16,IF($C32="Payroll Model",SUMIFS('Payroll Model'!Q:Q,Payroll_Mappings,'Operating Model'!$A32),IF($C32="Continue Last Month",M32," ")))),IF($A32&gt;0,INDEX(INDIRECT(N$1),MATCH($A32,Profit_and_Loss_Categories,0))," "))</f>
        <v>0</v>
      </c>
      <c r="O32" s="68">
        <f ca="1">IF(AND(O$5&gt;=Forecast_Start_Date,$A32&gt;0),IF($C32="Revenue Model",INDEX(Revenue_Forecast_Array,MATCH(O$5,Revenue_Model_Months,0)),IF($C32="% of Sales",$D32*O$16,IF($C32="Payroll Model",SUMIFS('Payroll Model'!R:R,Payroll_Mappings,'Operating Model'!$A32),IF($C32="Continue Last Month",N32," ")))),IF($A32&gt;0,INDEX(INDIRECT(O$1),MATCH($A32,Profit_and_Loss_Categories,0))," "))</f>
        <v>0</v>
      </c>
      <c r="P32" s="68">
        <f ca="1">IF(AND(P$5&gt;=Forecast_Start_Date,$A32&gt;0),IF($C32="Revenue Model",INDEX(Revenue_Forecast_Array,MATCH(P$5,Revenue_Model_Months,0)),IF($C32="% of Sales",$D32*P$16,IF($C32="Payroll Model",SUMIFS('Payroll Model'!S:S,Payroll_Mappings,'Operating Model'!$A32),IF($C32="Continue Last Month",O32," ")))),IF($A32&gt;0,INDEX(INDIRECT(P$1),MATCH($A32,Profit_and_Loss_Categories,0))," "))</f>
        <v>0</v>
      </c>
      <c r="Q32" s="68">
        <f ca="1">IF(AND(Q$5&gt;=Forecast_Start_Date,$A32&gt;0),IF($C32="Revenue Model",INDEX(Revenue_Forecast_Array,MATCH(Q$5,Revenue_Model_Months,0)),IF($C32="% of Sales",$D32*Q$16,IF($C32="Payroll Model",SUMIFS('Payroll Model'!T:T,Payroll_Mappings,'Operating Model'!$A32),IF($C32="Continue Last Month",P32," ")))),IF($A32&gt;0,INDEX(INDIRECT(Q$1),MATCH($A32,Profit_and_Loss_Categories,0))," "))</f>
        <v>0</v>
      </c>
    </row>
    <row r="33" spans="1:17" x14ac:dyDescent="0.2">
      <c r="A33" s="116" t="s">
        <v>79</v>
      </c>
      <c r="C33" s="66" t="s">
        <v>101</v>
      </c>
      <c r="D33" s="103" t="str">
        <f t="shared" si="6"/>
        <v xml:space="preserve"> </v>
      </c>
      <c r="F33" s="73">
        <f ca="1">IF(AND(F$5&gt;=Forecast_Start_Date,$A33&gt;0),IF($C33="Revenue Model",INDEX(Revenue_Forecast_Array,MATCH(F$5,Revenue_Model_Months,0)),IF($C33="% of Sales",$D33*F$16,IF($C33="Payroll Model",SUMIFS('Payroll Model'!I:I,Payroll_Mappings,'Operating Model'!$A33),IF($C33="Continue Last Month",E33," ")))),IF($A33&gt;0,INDEX(INDIRECT(F$1),MATCH($A33,Profit_and_Loss_Categories,0))," "))</f>
        <v>2000</v>
      </c>
      <c r="G33" s="73">
        <f ca="1">IF(AND(G$5&gt;=Forecast_Start_Date,$A33&gt;0),IF($C33="Revenue Model",INDEX(Revenue_Forecast_Array,MATCH(G$5,Revenue_Model_Months,0)),IF($C33="% of Sales",$D33*G$16,IF($C33="Payroll Model",SUMIFS('Payroll Model'!J:J,Payroll_Mappings,'Operating Model'!$A33),IF($C33="Continue Last Month",F33," ")))),IF($A33&gt;0,INDEX(INDIRECT(G$1),MATCH($A33,Profit_and_Loss_Categories,0))," "))</f>
        <v>2000</v>
      </c>
      <c r="H33" s="73">
        <f ca="1">IF(AND(H$5&gt;=Forecast_Start_Date,$A33&gt;0),IF($C33="Revenue Model",INDEX(Revenue_Forecast_Array,MATCH(H$5,Revenue_Model_Months,0)),IF($C33="% of Sales",$D33*H$16,IF($C33="Payroll Model",SUMIFS('Payroll Model'!K:K,Payroll_Mappings,'Operating Model'!$A33),IF($C33="Continue Last Month",G33," ")))),IF($A33&gt;0,INDEX(INDIRECT(H$1),MATCH($A33,Profit_and_Loss_Categories,0))," "))</f>
        <v>2000</v>
      </c>
      <c r="I33" s="68">
        <f ca="1">IF(AND(I$5&gt;=Forecast_Start_Date,$A33&gt;0),IF($C33="Revenue Model",INDEX(Revenue_Forecast_Array,MATCH(I$5,Revenue_Model_Months,0)),IF($C33="% of Sales",$D33*I$16,IF($C33="Payroll Model",SUMIFS('Payroll Model'!L:L,Payroll_Mappings,'Operating Model'!$A33),IF($C33="Continue Last Month",H33," ")))),IF($A33&gt;0,INDEX(INDIRECT(I$1),MATCH($A33,Profit_and_Loss_Categories,0))," "))</f>
        <v>0</v>
      </c>
      <c r="J33" s="68">
        <f ca="1">IF(AND(J$5&gt;=Forecast_Start_Date,$A33&gt;0),IF($C33="Revenue Model",INDEX(Revenue_Forecast_Array,MATCH(J$5,Revenue_Model_Months,0)),IF($C33="% of Sales",$D33*J$16,IF($C33="Payroll Model",SUMIFS('Payroll Model'!M:M,Payroll_Mappings,'Operating Model'!$A33),IF($C33="Continue Last Month",I33," ")))),IF($A33&gt;0,INDEX(INDIRECT(J$1),MATCH($A33,Profit_and_Loss_Categories,0))," "))</f>
        <v>0</v>
      </c>
      <c r="K33" s="68">
        <f ca="1">IF(AND(K$5&gt;=Forecast_Start_Date,$A33&gt;0),IF($C33="Revenue Model",INDEX(Revenue_Forecast_Array,MATCH(K$5,Revenue_Model_Months,0)),IF($C33="% of Sales",$D33*K$16,IF($C33="Payroll Model",SUMIFS('Payroll Model'!N:N,Payroll_Mappings,'Operating Model'!$A33),IF($C33="Continue Last Month",J33," ")))),IF($A33&gt;0,INDEX(INDIRECT(K$1),MATCH($A33,Profit_and_Loss_Categories,0))," "))</f>
        <v>0</v>
      </c>
      <c r="L33" s="68">
        <f ca="1">IF(AND(L$5&gt;=Forecast_Start_Date,$A33&gt;0),IF($C33="Revenue Model",INDEX(Revenue_Forecast_Array,MATCH(L$5,Revenue_Model_Months,0)),IF($C33="% of Sales",$D33*L$16,IF($C33="Payroll Model",SUMIFS('Payroll Model'!O:O,Payroll_Mappings,'Operating Model'!$A33),IF($C33="Continue Last Month",K33," ")))),IF($A33&gt;0,INDEX(INDIRECT(L$1),MATCH($A33,Profit_and_Loss_Categories,0))," "))</f>
        <v>0</v>
      </c>
      <c r="M33" s="68">
        <f ca="1">IF(AND(M$5&gt;=Forecast_Start_Date,$A33&gt;0),IF($C33="Revenue Model",INDEX(Revenue_Forecast_Array,MATCH(M$5,Revenue_Model_Months,0)),IF($C33="% of Sales",$D33*M$16,IF($C33="Payroll Model",SUMIFS('Payroll Model'!P:P,Payroll_Mappings,'Operating Model'!$A33),IF($C33="Continue Last Month",L33," ")))),IF($A33&gt;0,INDEX(INDIRECT(M$1),MATCH($A33,Profit_and_Loss_Categories,0))," "))</f>
        <v>0</v>
      </c>
      <c r="N33" s="68">
        <f ca="1">IF(AND(N$5&gt;=Forecast_Start_Date,$A33&gt;0),IF($C33="Revenue Model",INDEX(Revenue_Forecast_Array,MATCH(N$5,Revenue_Model_Months,0)),IF($C33="% of Sales",$D33*N$16,IF($C33="Payroll Model",SUMIFS('Payroll Model'!Q:Q,Payroll_Mappings,'Operating Model'!$A33),IF($C33="Continue Last Month",M33," ")))),IF($A33&gt;0,INDEX(INDIRECT(N$1),MATCH($A33,Profit_and_Loss_Categories,0))," "))</f>
        <v>0</v>
      </c>
      <c r="O33" s="68">
        <f ca="1">IF(AND(O$5&gt;=Forecast_Start_Date,$A33&gt;0),IF($C33="Revenue Model",INDEX(Revenue_Forecast_Array,MATCH(O$5,Revenue_Model_Months,0)),IF($C33="% of Sales",$D33*O$16,IF($C33="Payroll Model",SUMIFS('Payroll Model'!R:R,Payroll_Mappings,'Operating Model'!$A33),IF($C33="Continue Last Month",N33," ")))),IF($A33&gt;0,INDEX(INDIRECT(O$1),MATCH($A33,Profit_and_Loss_Categories,0))," "))</f>
        <v>0</v>
      </c>
      <c r="P33" s="68">
        <f ca="1">IF(AND(P$5&gt;=Forecast_Start_Date,$A33&gt;0),IF($C33="Revenue Model",INDEX(Revenue_Forecast_Array,MATCH(P$5,Revenue_Model_Months,0)),IF($C33="% of Sales",$D33*P$16,IF($C33="Payroll Model",SUMIFS('Payroll Model'!S:S,Payroll_Mappings,'Operating Model'!$A33),IF($C33="Continue Last Month",O33," ")))),IF($A33&gt;0,INDEX(INDIRECT(P$1),MATCH($A33,Profit_and_Loss_Categories,0))," "))</f>
        <v>0</v>
      </c>
      <c r="Q33" s="68">
        <f ca="1">IF(AND(Q$5&gt;=Forecast_Start_Date,$A33&gt;0),IF($C33="Revenue Model",INDEX(Revenue_Forecast_Array,MATCH(Q$5,Revenue_Model_Months,0)),IF($C33="% of Sales",$D33*Q$16,IF($C33="Payroll Model",SUMIFS('Payroll Model'!T:T,Payroll_Mappings,'Operating Model'!$A33),IF($C33="Continue Last Month",P33," ")))),IF($A33&gt;0,INDEX(INDIRECT(Q$1),MATCH($A33,Profit_and_Loss_Categories,0))," "))</f>
        <v>0</v>
      </c>
    </row>
    <row r="34" spans="1:17" x14ac:dyDescent="0.2">
      <c r="A34" s="116" t="s">
        <v>28</v>
      </c>
      <c r="C34" s="66" t="s">
        <v>101</v>
      </c>
      <c r="D34" s="103" t="str">
        <f t="shared" si="6"/>
        <v xml:space="preserve"> </v>
      </c>
      <c r="F34" s="73">
        <f ca="1">IF(AND(F$5&gt;=Forecast_Start_Date,$A34&gt;0),IF($C34="Revenue Model",INDEX(Revenue_Forecast_Array,MATCH(F$5,Revenue_Model_Months,0)),IF($C34="% of Sales",$D34*F$16,IF($C34="Payroll Model",SUMIFS('Payroll Model'!I:I,Payroll_Mappings,'Operating Model'!$A34),IF($C34="Continue Last Month",E34," ")))),IF($A34&gt;0,INDEX(INDIRECT(F$1),MATCH($A34,Profit_and_Loss_Categories,0))," "))</f>
        <v>500</v>
      </c>
      <c r="G34" s="73">
        <f ca="1">IF(AND(G$5&gt;=Forecast_Start_Date,$A34&gt;0),IF($C34="Revenue Model",INDEX(Revenue_Forecast_Array,MATCH(G$5,Revenue_Model_Months,0)),IF($C34="% of Sales",$D34*G$16,IF($C34="Payroll Model",SUMIFS('Payroll Model'!J:J,Payroll_Mappings,'Operating Model'!$A34),IF($C34="Continue Last Month",F34," ")))),IF($A34&gt;0,INDEX(INDIRECT(G$1),MATCH($A34,Profit_and_Loss_Categories,0))," "))</f>
        <v>500</v>
      </c>
      <c r="H34" s="73">
        <f ca="1">IF(AND(H$5&gt;=Forecast_Start_Date,$A34&gt;0),IF($C34="Revenue Model",INDEX(Revenue_Forecast_Array,MATCH(H$5,Revenue_Model_Months,0)),IF($C34="% of Sales",$D34*H$16,IF($C34="Payroll Model",SUMIFS('Payroll Model'!K:K,Payroll_Mappings,'Operating Model'!$A34),IF($C34="Continue Last Month",G34," ")))),IF($A34&gt;0,INDEX(INDIRECT(H$1),MATCH($A34,Profit_and_Loss_Categories,0))," "))</f>
        <v>500</v>
      </c>
      <c r="I34" s="68">
        <f ca="1">IF(AND(I$5&gt;=Forecast_Start_Date,$A34&gt;0),IF($C34="Revenue Model",INDEX(Revenue_Forecast_Array,MATCH(I$5,Revenue_Model_Months,0)),IF($C34="% of Sales",$D34*I$16,IF($C34="Payroll Model",SUMIFS('Payroll Model'!L:L,Payroll_Mappings,'Operating Model'!$A34),IF($C34="Continue Last Month",H34," ")))),IF($A34&gt;0,INDEX(INDIRECT(I$1),MATCH($A34,Profit_and_Loss_Categories,0))," "))</f>
        <v>0</v>
      </c>
      <c r="J34" s="68">
        <f ca="1">IF(AND(J$5&gt;=Forecast_Start_Date,$A34&gt;0),IF($C34="Revenue Model",INDEX(Revenue_Forecast_Array,MATCH(J$5,Revenue_Model_Months,0)),IF($C34="% of Sales",$D34*J$16,IF($C34="Payroll Model",SUMIFS('Payroll Model'!M:M,Payroll_Mappings,'Operating Model'!$A34),IF($C34="Continue Last Month",I34," ")))),IF($A34&gt;0,INDEX(INDIRECT(J$1),MATCH($A34,Profit_and_Loss_Categories,0))," "))</f>
        <v>0</v>
      </c>
      <c r="K34" s="68">
        <f ca="1">IF(AND(K$5&gt;=Forecast_Start_Date,$A34&gt;0),IF($C34="Revenue Model",INDEX(Revenue_Forecast_Array,MATCH(K$5,Revenue_Model_Months,0)),IF($C34="% of Sales",$D34*K$16,IF($C34="Payroll Model",SUMIFS('Payroll Model'!N:N,Payroll_Mappings,'Operating Model'!$A34),IF($C34="Continue Last Month",J34," ")))),IF($A34&gt;0,INDEX(INDIRECT(K$1),MATCH($A34,Profit_and_Loss_Categories,0))," "))</f>
        <v>0</v>
      </c>
      <c r="L34" s="68">
        <f ca="1">IF(AND(L$5&gt;=Forecast_Start_Date,$A34&gt;0),IF($C34="Revenue Model",INDEX(Revenue_Forecast_Array,MATCH(L$5,Revenue_Model_Months,0)),IF($C34="% of Sales",$D34*L$16,IF($C34="Payroll Model",SUMIFS('Payroll Model'!O:O,Payroll_Mappings,'Operating Model'!$A34),IF($C34="Continue Last Month",K34," ")))),IF($A34&gt;0,INDEX(INDIRECT(L$1),MATCH($A34,Profit_and_Loss_Categories,0))," "))</f>
        <v>0</v>
      </c>
      <c r="M34" s="68">
        <f ca="1">IF(AND(M$5&gt;=Forecast_Start_Date,$A34&gt;0),IF($C34="Revenue Model",INDEX(Revenue_Forecast_Array,MATCH(M$5,Revenue_Model_Months,0)),IF($C34="% of Sales",$D34*M$16,IF($C34="Payroll Model",SUMIFS('Payroll Model'!P:P,Payroll_Mappings,'Operating Model'!$A34),IF($C34="Continue Last Month",L34," ")))),IF($A34&gt;0,INDEX(INDIRECT(M$1),MATCH($A34,Profit_and_Loss_Categories,0))," "))</f>
        <v>0</v>
      </c>
      <c r="N34" s="68">
        <f ca="1">IF(AND(N$5&gt;=Forecast_Start_Date,$A34&gt;0),IF($C34="Revenue Model",INDEX(Revenue_Forecast_Array,MATCH(N$5,Revenue_Model_Months,0)),IF($C34="% of Sales",$D34*N$16,IF($C34="Payroll Model",SUMIFS('Payroll Model'!Q:Q,Payroll_Mappings,'Operating Model'!$A34),IF($C34="Continue Last Month",M34," ")))),IF($A34&gt;0,INDEX(INDIRECT(N$1),MATCH($A34,Profit_and_Loss_Categories,0))," "))</f>
        <v>0</v>
      </c>
      <c r="O34" s="68">
        <f ca="1">IF(AND(O$5&gt;=Forecast_Start_Date,$A34&gt;0),IF($C34="Revenue Model",INDEX(Revenue_Forecast_Array,MATCH(O$5,Revenue_Model_Months,0)),IF($C34="% of Sales",$D34*O$16,IF($C34="Payroll Model",SUMIFS('Payroll Model'!R:R,Payroll_Mappings,'Operating Model'!$A34),IF($C34="Continue Last Month",N34," ")))),IF($A34&gt;0,INDEX(INDIRECT(O$1),MATCH($A34,Profit_and_Loss_Categories,0))," "))</f>
        <v>0</v>
      </c>
      <c r="P34" s="68">
        <f ca="1">IF(AND(P$5&gt;=Forecast_Start_Date,$A34&gt;0),IF($C34="Revenue Model",INDEX(Revenue_Forecast_Array,MATCH(P$5,Revenue_Model_Months,0)),IF($C34="% of Sales",$D34*P$16,IF($C34="Payroll Model",SUMIFS('Payroll Model'!S:S,Payroll_Mappings,'Operating Model'!$A34),IF($C34="Continue Last Month",O34," ")))),IF($A34&gt;0,INDEX(INDIRECT(P$1),MATCH($A34,Profit_and_Loss_Categories,0))," "))</f>
        <v>0</v>
      </c>
      <c r="Q34" s="68">
        <f ca="1">IF(AND(Q$5&gt;=Forecast_Start_Date,$A34&gt;0),IF($C34="Revenue Model",INDEX(Revenue_Forecast_Array,MATCH(Q$5,Revenue_Model_Months,0)),IF($C34="% of Sales",$D34*Q$16,IF($C34="Payroll Model",SUMIFS('Payroll Model'!T:T,Payroll_Mappings,'Operating Model'!$A34),IF($C34="Continue Last Month",P34," ")))),IF($A34&gt;0,INDEX(INDIRECT(Q$1),MATCH($A34,Profit_and_Loss_Categories,0))," "))</f>
        <v>0</v>
      </c>
    </row>
    <row r="35" spans="1:17" x14ac:dyDescent="0.2">
      <c r="A35" s="116" t="s">
        <v>23</v>
      </c>
      <c r="C35" s="66" t="s">
        <v>101</v>
      </c>
      <c r="D35" s="103" t="str">
        <f t="shared" si="6"/>
        <v xml:space="preserve"> </v>
      </c>
      <c r="F35" s="73">
        <f ca="1">IF(AND(F$5&gt;=Forecast_Start_Date,$A35&gt;0),IF($C35="Revenue Model",INDEX(Revenue_Forecast_Array,MATCH(F$5,Revenue_Model_Months,0)),IF($C35="% of Sales",$D35*F$16,IF($C35="Payroll Model",SUMIFS('Payroll Model'!I:I,Payroll_Mappings,'Operating Model'!$A35),IF($C35="Continue Last Month",E35," ")))),IF($A35&gt;0,INDEX(INDIRECT(F$1),MATCH($A35,Profit_and_Loss_Categories,0))," "))</f>
        <v>150</v>
      </c>
      <c r="G35" s="73">
        <f ca="1">IF(AND(G$5&gt;=Forecast_Start_Date,$A35&gt;0),IF($C35="Revenue Model",INDEX(Revenue_Forecast_Array,MATCH(G$5,Revenue_Model_Months,0)),IF($C35="% of Sales",$D35*G$16,IF($C35="Payroll Model",SUMIFS('Payroll Model'!J:J,Payroll_Mappings,'Operating Model'!$A35),IF($C35="Continue Last Month",F35," ")))),IF($A35&gt;0,INDEX(INDIRECT(G$1),MATCH($A35,Profit_and_Loss_Categories,0))," "))</f>
        <v>150</v>
      </c>
      <c r="H35" s="73">
        <f ca="1">IF(AND(H$5&gt;=Forecast_Start_Date,$A35&gt;0),IF($C35="Revenue Model",INDEX(Revenue_Forecast_Array,MATCH(H$5,Revenue_Model_Months,0)),IF($C35="% of Sales",$D35*H$16,IF($C35="Payroll Model",SUMIFS('Payroll Model'!K:K,Payroll_Mappings,'Operating Model'!$A35),IF($C35="Continue Last Month",G35," ")))),IF($A35&gt;0,INDEX(INDIRECT(H$1),MATCH($A35,Profit_and_Loss_Categories,0))," "))</f>
        <v>150</v>
      </c>
      <c r="I35" s="68">
        <f ca="1">IF(AND(I$5&gt;=Forecast_Start_Date,$A35&gt;0),IF($C35="Revenue Model",INDEX(Revenue_Forecast_Array,MATCH(I$5,Revenue_Model_Months,0)),IF($C35="% of Sales",$D35*I$16,IF($C35="Payroll Model",SUMIFS('Payroll Model'!L:L,Payroll_Mappings,'Operating Model'!$A35),IF($C35="Continue Last Month",H35," ")))),IF($A35&gt;0,INDEX(INDIRECT(I$1),MATCH($A35,Profit_and_Loss_Categories,0))," "))</f>
        <v>0</v>
      </c>
      <c r="J35" s="68">
        <f ca="1">IF(AND(J$5&gt;=Forecast_Start_Date,$A35&gt;0),IF($C35="Revenue Model",INDEX(Revenue_Forecast_Array,MATCH(J$5,Revenue_Model_Months,0)),IF($C35="% of Sales",$D35*J$16,IF($C35="Payroll Model",SUMIFS('Payroll Model'!M:M,Payroll_Mappings,'Operating Model'!$A35),IF($C35="Continue Last Month",I35," ")))),IF($A35&gt;0,INDEX(INDIRECT(J$1),MATCH($A35,Profit_and_Loss_Categories,0))," "))</f>
        <v>0</v>
      </c>
      <c r="K35" s="68">
        <f ca="1">IF(AND(K$5&gt;=Forecast_Start_Date,$A35&gt;0),IF($C35="Revenue Model",INDEX(Revenue_Forecast_Array,MATCH(K$5,Revenue_Model_Months,0)),IF($C35="% of Sales",$D35*K$16,IF($C35="Payroll Model",SUMIFS('Payroll Model'!N:N,Payroll_Mappings,'Operating Model'!$A35),IF($C35="Continue Last Month",J35," ")))),IF($A35&gt;0,INDEX(INDIRECT(K$1),MATCH($A35,Profit_and_Loss_Categories,0))," "))</f>
        <v>0</v>
      </c>
      <c r="L35" s="68">
        <f ca="1">IF(AND(L$5&gt;=Forecast_Start_Date,$A35&gt;0),IF($C35="Revenue Model",INDEX(Revenue_Forecast_Array,MATCH(L$5,Revenue_Model_Months,0)),IF($C35="% of Sales",$D35*L$16,IF($C35="Payroll Model",SUMIFS('Payroll Model'!O:O,Payroll_Mappings,'Operating Model'!$A35),IF($C35="Continue Last Month",K35," ")))),IF($A35&gt;0,INDEX(INDIRECT(L$1),MATCH($A35,Profit_and_Loss_Categories,0))," "))</f>
        <v>0</v>
      </c>
      <c r="M35" s="68">
        <f ca="1">IF(AND(M$5&gt;=Forecast_Start_Date,$A35&gt;0),IF($C35="Revenue Model",INDEX(Revenue_Forecast_Array,MATCH(M$5,Revenue_Model_Months,0)),IF($C35="% of Sales",$D35*M$16,IF($C35="Payroll Model",SUMIFS('Payroll Model'!P:P,Payroll_Mappings,'Operating Model'!$A35),IF($C35="Continue Last Month",L35," ")))),IF($A35&gt;0,INDEX(INDIRECT(M$1),MATCH($A35,Profit_and_Loss_Categories,0))," "))</f>
        <v>0</v>
      </c>
      <c r="N35" s="68">
        <f ca="1">IF(AND(N$5&gt;=Forecast_Start_Date,$A35&gt;0),IF($C35="Revenue Model",INDEX(Revenue_Forecast_Array,MATCH(N$5,Revenue_Model_Months,0)),IF($C35="% of Sales",$D35*N$16,IF($C35="Payroll Model",SUMIFS('Payroll Model'!Q:Q,Payroll_Mappings,'Operating Model'!$A35),IF($C35="Continue Last Month",M35," ")))),IF($A35&gt;0,INDEX(INDIRECT(N$1),MATCH($A35,Profit_and_Loss_Categories,0))," "))</f>
        <v>0</v>
      </c>
      <c r="O35" s="68">
        <f ca="1">IF(AND(O$5&gt;=Forecast_Start_Date,$A35&gt;0),IF($C35="Revenue Model",INDEX(Revenue_Forecast_Array,MATCH(O$5,Revenue_Model_Months,0)),IF($C35="% of Sales",$D35*O$16,IF($C35="Payroll Model",SUMIFS('Payroll Model'!R:R,Payroll_Mappings,'Operating Model'!$A35),IF($C35="Continue Last Month",N35," ")))),IF($A35&gt;0,INDEX(INDIRECT(O$1),MATCH($A35,Profit_and_Loss_Categories,0))," "))</f>
        <v>0</v>
      </c>
      <c r="P35" s="68">
        <f ca="1">IF(AND(P$5&gt;=Forecast_Start_Date,$A35&gt;0),IF($C35="Revenue Model",INDEX(Revenue_Forecast_Array,MATCH(P$5,Revenue_Model_Months,0)),IF($C35="% of Sales",$D35*P$16,IF($C35="Payroll Model",SUMIFS('Payroll Model'!S:S,Payroll_Mappings,'Operating Model'!$A35),IF($C35="Continue Last Month",O35," ")))),IF($A35&gt;0,INDEX(INDIRECT(P$1),MATCH($A35,Profit_and_Loss_Categories,0))," "))</f>
        <v>0</v>
      </c>
      <c r="Q35" s="68">
        <f ca="1">IF(AND(Q$5&gt;=Forecast_Start_Date,$A35&gt;0),IF($C35="Revenue Model",INDEX(Revenue_Forecast_Array,MATCH(Q$5,Revenue_Model_Months,0)),IF($C35="% of Sales",$D35*Q$16,IF($C35="Payroll Model",SUMIFS('Payroll Model'!T:T,Payroll_Mappings,'Operating Model'!$A35),IF($C35="Continue Last Month",P35," ")))),IF($A35&gt;0,INDEX(INDIRECT(Q$1),MATCH($A35,Profit_and_Loss_Categories,0))," "))</f>
        <v>0</v>
      </c>
    </row>
    <row r="36" spans="1:17" x14ac:dyDescent="0.2">
      <c r="A36" s="116" t="s">
        <v>25</v>
      </c>
      <c r="C36" s="66" t="s">
        <v>101</v>
      </c>
      <c r="D36" s="103" t="str">
        <f t="shared" si="6"/>
        <v xml:space="preserve"> </v>
      </c>
      <c r="F36" s="73">
        <f ca="1">IF(AND(F$5&gt;=Forecast_Start_Date,$A36&gt;0),IF($C36="Revenue Model",INDEX(Revenue_Forecast_Array,MATCH(F$5,Revenue_Model_Months,0)),IF($C36="% of Sales",$D36*F$16,IF($C36="Payroll Model",SUMIFS('Payroll Model'!I:I,Payroll_Mappings,'Operating Model'!$A36),IF($C36="Continue Last Month",E36," ")))),IF($A36&gt;0,INDEX(INDIRECT(F$1),MATCH($A36,Profit_and_Loss_Categories,0))," "))</f>
        <v>2000</v>
      </c>
      <c r="G36" s="73">
        <f ca="1">IF(AND(G$5&gt;=Forecast_Start_Date,$A36&gt;0),IF($C36="Revenue Model",INDEX(Revenue_Forecast_Array,MATCH(G$5,Revenue_Model_Months,0)),IF($C36="% of Sales",$D36*G$16,IF($C36="Payroll Model",SUMIFS('Payroll Model'!J:J,Payroll_Mappings,'Operating Model'!$A36),IF($C36="Continue Last Month",F36," ")))),IF($A36&gt;0,INDEX(INDIRECT(G$1),MATCH($A36,Profit_and_Loss_Categories,0))," "))</f>
        <v>2000</v>
      </c>
      <c r="H36" s="73">
        <f ca="1">IF(AND(H$5&gt;=Forecast_Start_Date,$A36&gt;0),IF($C36="Revenue Model",INDEX(Revenue_Forecast_Array,MATCH(H$5,Revenue_Model_Months,0)),IF($C36="% of Sales",$D36*H$16,IF($C36="Payroll Model",SUMIFS('Payroll Model'!K:K,Payroll_Mappings,'Operating Model'!$A36),IF($C36="Continue Last Month",G36," ")))),IF($A36&gt;0,INDEX(INDIRECT(H$1),MATCH($A36,Profit_and_Loss_Categories,0))," "))</f>
        <v>2000</v>
      </c>
      <c r="I36" s="68">
        <f ca="1">IF(AND(I$5&gt;=Forecast_Start_Date,$A36&gt;0),IF($C36="Revenue Model",INDEX(Revenue_Forecast_Array,MATCH(I$5,Revenue_Model_Months,0)),IF($C36="% of Sales",$D36*I$16,IF($C36="Payroll Model",SUMIFS('Payroll Model'!L:L,Payroll_Mappings,'Operating Model'!$A36),IF($C36="Continue Last Month",H36," ")))),IF($A36&gt;0,INDEX(INDIRECT(I$1),MATCH($A36,Profit_and_Loss_Categories,0))," "))</f>
        <v>0</v>
      </c>
      <c r="J36" s="68">
        <f ca="1">IF(AND(J$5&gt;=Forecast_Start_Date,$A36&gt;0),IF($C36="Revenue Model",INDEX(Revenue_Forecast_Array,MATCH(J$5,Revenue_Model_Months,0)),IF($C36="% of Sales",$D36*J$16,IF($C36="Payroll Model",SUMIFS('Payroll Model'!M:M,Payroll_Mappings,'Operating Model'!$A36),IF($C36="Continue Last Month",I36," ")))),IF($A36&gt;0,INDEX(INDIRECT(J$1),MATCH($A36,Profit_and_Loss_Categories,0))," "))</f>
        <v>0</v>
      </c>
      <c r="K36" s="68">
        <f ca="1">IF(AND(K$5&gt;=Forecast_Start_Date,$A36&gt;0),IF($C36="Revenue Model",INDEX(Revenue_Forecast_Array,MATCH(K$5,Revenue_Model_Months,0)),IF($C36="% of Sales",$D36*K$16,IF($C36="Payroll Model",SUMIFS('Payroll Model'!N:N,Payroll_Mappings,'Operating Model'!$A36),IF($C36="Continue Last Month",J36," ")))),IF($A36&gt;0,INDEX(INDIRECT(K$1),MATCH($A36,Profit_and_Loss_Categories,0))," "))</f>
        <v>0</v>
      </c>
      <c r="L36" s="68">
        <f ca="1">IF(AND(L$5&gt;=Forecast_Start_Date,$A36&gt;0),IF($C36="Revenue Model",INDEX(Revenue_Forecast_Array,MATCH(L$5,Revenue_Model_Months,0)),IF($C36="% of Sales",$D36*L$16,IF($C36="Payroll Model",SUMIFS('Payroll Model'!O:O,Payroll_Mappings,'Operating Model'!$A36),IF($C36="Continue Last Month",K36," ")))),IF($A36&gt;0,INDEX(INDIRECT(L$1),MATCH($A36,Profit_and_Loss_Categories,0))," "))</f>
        <v>0</v>
      </c>
      <c r="M36" s="68">
        <f ca="1">IF(AND(M$5&gt;=Forecast_Start_Date,$A36&gt;0),IF($C36="Revenue Model",INDEX(Revenue_Forecast_Array,MATCH(M$5,Revenue_Model_Months,0)),IF($C36="% of Sales",$D36*M$16,IF($C36="Payroll Model",SUMIFS('Payroll Model'!P:P,Payroll_Mappings,'Operating Model'!$A36),IF($C36="Continue Last Month",L36," ")))),IF($A36&gt;0,INDEX(INDIRECT(M$1),MATCH($A36,Profit_and_Loss_Categories,0))," "))</f>
        <v>0</v>
      </c>
      <c r="N36" s="68">
        <f ca="1">IF(AND(N$5&gt;=Forecast_Start_Date,$A36&gt;0),IF($C36="Revenue Model",INDEX(Revenue_Forecast_Array,MATCH(N$5,Revenue_Model_Months,0)),IF($C36="% of Sales",$D36*N$16,IF($C36="Payroll Model",SUMIFS('Payroll Model'!Q:Q,Payroll_Mappings,'Operating Model'!$A36),IF($C36="Continue Last Month",M36," ")))),IF($A36&gt;0,INDEX(INDIRECT(N$1),MATCH($A36,Profit_and_Loss_Categories,0))," "))</f>
        <v>0</v>
      </c>
      <c r="O36" s="68">
        <f ca="1">IF(AND(O$5&gt;=Forecast_Start_Date,$A36&gt;0),IF($C36="Revenue Model",INDEX(Revenue_Forecast_Array,MATCH(O$5,Revenue_Model_Months,0)),IF($C36="% of Sales",$D36*O$16,IF($C36="Payroll Model",SUMIFS('Payroll Model'!R:R,Payroll_Mappings,'Operating Model'!$A36),IF($C36="Continue Last Month",N36," ")))),IF($A36&gt;0,INDEX(INDIRECT(O$1),MATCH($A36,Profit_and_Loss_Categories,0))," "))</f>
        <v>0</v>
      </c>
      <c r="P36" s="68">
        <f ca="1">IF(AND(P$5&gt;=Forecast_Start_Date,$A36&gt;0),IF($C36="Revenue Model",INDEX(Revenue_Forecast_Array,MATCH(P$5,Revenue_Model_Months,0)),IF($C36="% of Sales",$D36*P$16,IF($C36="Payroll Model",SUMIFS('Payroll Model'!S:S,Payroll_Mappings,'Operating Model'!$A36),IF($C36="Continue Last Month",O36," ")))),IF($A36&gt;0,INDEX(INDIRECT(P$1),MATCH($A36,Profit_and_Loss_Categories,0))," "))</f>
        <v>0</v>
      </c>
      <c r="Q36" s="68">
        <f ca="1">IF(AND(Q$5&gt;=Forecast_Start_Date,$A36&gt;0),IF($C36="Revenue Model",INDEX(Revenue_Forecast_Array,MATCH(Q$5,Revenue_Model_Months,0)),IF($C36="% of Sales",$D36*Q$16,IF($C36="Payroll Model",SUMIFS('Payroll Model'!T:T,Payroll_Mappings,'Operating Model'!$A36),IF($C36="Continue Last Month",P36," ")))),IF($A36&gt;0,INDEX(INDIRECT(Q$1),MATCH($A36,Profit_and_Loss_Categories,0))," "))</f>
        <v>0</v>
      </c>
    </row>
    <row r="37" spans="1:17" x14ac:dyDescent="0.2">
      <c r="A37" s="116" t="s">
        <v>93</v>
      </c>
      <c r="C37" s="66" t="s">
        <v>101</v>
      </c>
      <c r="D37" s="103" t="str">
        <f t="shared" si="6"/>
        <v xml:space="preserve"> </v>
      </c>
      <c r="F37" s="73">
        <f ca="1">IF(AND(F$5&gt;=Forecast_Start_Date,$A37&gt;0),IF($C37="Revenue Model",INDEX(Revenue_Forecast_Array,MATCH(F$5,Revenue_Model_Months,0)),IF($C37="% of Sales",$D37*F$16,IF($C37="Payroll Model",SUMIFS('Payroll Model'!I:I,Payroll_Mappings,'Operating Model'!$A37),IF($C37="Continue Last Month",E37," ")))),IF($A37&gt;0,INDEX(INDIRECT(F$1),MATCH($A37,Profit_and_Loss_Categories,0))," "))</f>
        <v>733.33333333333337</v>
      </c>
      <c r="G37" s="73">
        <f ca="1">IF(AND(G$5&gt;=Forecast_Start_Date,$A37&gt;0),IF($C37="Revenue Model",INDEX(Revenue_Forecast_Array,MATCH(G$5,Revenue_Model_Months,0)),IF($C37="% of Sales",$D37*G$16,IF($C37="Payroll Model",SUMIFS('Payroll Model'!J:J,Payroll_Mappings,'Operating Model'!$A37),IF($C37="Continue Last Month",F37," ")))),IF($A37&gt;0,INDEX(INDIRECT(G$1),MATCH($A37,Profit_and_Loss_Categories,0))," "))</f>
        <v>1466.6666666666667</v>
      </c>
      <c r="H37" s="73">
        <f ca="1">IF(AND(H$5&gt;=Forecast_Start_Date,$A37&gt;0),IF($C37="Revenue Model",INDEX(Revenue_Forecast_Array,MATCH(H$5,Revenue_Model_Months,0)),IF($C37="% of Sales",$D37*H$16,IF($C37="Payroll Model",SUMIFS('Payroll Model'!K:K,Payroll_Mappings,'Operating Model'!$A37),IF($C37="Continue Last Month",G37," ")))),IF($A37&gt;0,INDEX(INDIRECT(H$1),MATCH($A37,Profit_and_Loss_Categories,0))," "))</f>
        <v>2000</v>
      </c>
      <c r="I37" s="68">
        <f ca="1">IF(AND(I$5&gt;=Forecast_Start_Date,$A37&gt;0),IF($C37="Revenue Model",INDEX(Revenue_Forecast_Array,MATCH(I$5,Revenue_Model_Months,0)),IF($C37="% of Sales",$D37*I$16,IF($C37="Payroll Model",SUMIFS('Payroll Model'!L:L,Payroll_Mappings,'Operating Model'!$A37),IF($C37="Continue Last Month",H37," ")))),IF($A37&gt;0,INDEX(INDIRECT(I$1),MATCH($A37,Profit_and_Loss_Categories,0))," "))</f>
        <v>0</v>
      </c>
      <c r="J37" s="68">
        <f ca="1">IF(AND(J$5&gt;=Forecast_Start_Date,$A37&gt;0),IF($C37="Revenue Model",INDEX(Revenue_Forecast_Array,MATCH(J$5,Revenue_Model_Months,0)),IF($C37="% of Sales",$D37*J$16,IF($C37="Payroll Model",SUMIFS('Payroll Model'!M:M,Payroll_Mappings,'Operating Model'!$A37),IF($C37="Continue Last Month",I37," ")))),IF($A37&gt;0,INDEX(INDIRECT(J$1),MATCH($A37,Profit_and_Loss_Categories,0))," "))</f>
        <v>0</v>
      </c>
      <c r="K37" s="68">
        <f ca="1">IF(AND(K$5&gt;=Forecast_Start_Date,$A37&gt;0),IF($C37="Revenue Model",INDEX(Revenue_Forecast_Array,MATCH(K$5,Revenue_Model_Months,0)),IF($C37="% of Sales",$D37*K$16,IF($C37="Payroll Model",SUMIFS('Payroll Model'!N:N,Payroll_Mappings,'Operating Model'!$A37),IF($C37="Continue Last Month",J37," ")))),IF($A37&gt;0,INDEX(INDIRECT(K$1),MATCH($A37,Profit_and_Loss_Categories,0))," "))</f>
        <v>0</v>
      </c>
      <c r="L37" s="68">
        <f ca="1">IF(AND(L$5&gt;=Forecast_Start_Date,$A37&gt;0),IF($C37="Revenue Model",INDEX(Revenue_Forecast_Array,MATCH(L$5,Revenue_Model_Months,0)),IF($C37="% of Sales",$D37*L$16,IF($C37="Payroll Model",SUMIFS('Payroll Model'!O:O,Payroll_Mappings,'Operating Model'!$A37),IF($C37="Continue Last Month",K37," ")))),IF($A37&gt;0,INDEX(INDIRECT(L$1),MATCH($A37,Profit_and_Loss_Categories,0))," "))</f>
        <v>0</v>
      </c>
      <c r="M37" s="68">
        <f ca="1">IF(AND(M$5&gt;=Forecast_Start_Date,$A37&gt;0),IF($C37="Revenue Model",INDEX(Revenue_Forecast_Array,MATCH(M$5,Revenue_Model_Months,0)),IF($C37="% of Sales",$D37*M$16,IF($C37="Payroll Model",SUMIFS('Payroll Model'!P:P,Payroll_Mappings,'Operating Model'!$A37),IF($C37="Continue Last Month",L37," ")))),IF($A37&gt;0,INDEX(INDIRECT(M$1),MATCH($A37,Profit_and_Loss_Categories,0))," "))</f>
        <v>0</v>
      </c>
      <c r="N37" s="68">
        <f ca="1">IF(AND(N$5&gt;=Forecast_Start_Date,$A37&gt;0),IF($C37="Revenue Model",INDEX(Revenue_Forecast_Array,MATCH(N$5,Revenue_Model_Months,0)),IF($C37="% of Sales",$D37*N$16,IF($C37="Payroll Model",SUMIFS('Payroll Model'!Q:Q,Payroll_Mappings,'Operating Model'!$A37),IF($C37="Continue Last Month",M37," ")))),IF($A37&gt;0,INDEX(INDIRECT(N$1),MATCH($A37,Profit_and_Loss_Categories,0))," "))</f>
        <v>0</v>
      </c>
      <c r="O37" s="68">
        <f ca="1">IF(AND(O$5&gt;=Forecast_Start_Date,$A37&gt;0),IF($C37="Revenue Model",INDEX(Revenue_Forecast_Array,MATCH(O$5,Revenue_Model_Months,0)),IF($C37="% of Sales",$D37*O$16,IF($C37="Payroll Model",SUMIFS('Payroll Model'!R:R,Payroll_Mappings,'Operating Model'!$A37),IF($C37="Continue Last Month",N37," ")))),IF($A37&gt;0,INDEX(INDIRECT(O$1),MATCH($A37,Profit_and_Loss_Categories,0))," "))</f>
        <v>0</v>
      </c>
      <c r="P37" s="68">
        <f ca="1">IF(AND(P$5&gt;=Forecast_Start_Date,$A37&gt;0),IF($C37="Revenue Model",INDEX(Revenue_Forecast_Array,MATCH(P$5,Revenue_Model_Months,0)),IF($C37="% of Sales",$D37*P$16,IF($C37="Payroll Model",SUMIFS('Payroll Model'!S:S,Payroll_Mappings,'Operating Model'!$A37),IF($C37="Continue Last Month",O37," ")))),IF($A37&gt;0,INDEX(INDIRECT(P$1),MATCH($A37,Profit_and_Loss_Categories,0))," "))</f>
        <v>0</v>
      </c>
      <c r="Q37" s="68">
        <f ca="1">IF(AND(Q$5&gt;=Forecast_Start_Date,$A37&gt;0),IF($C37="Revenue Model",INDEX(Revenue_Forecast_Array,MATCH(Q$5,Revenue_Model_Months,0)),IF($C37="% of Sales",$D37*Q$16,IF($C37="Payroll Model",SUMIFS('Payroll Model'!T:T,Payroll_Mappings,'Operating Model'!$A37),IF($C37="Continue Last Month",P37," ")))),IF($A37&gt;0,INDEX(INDIRECT(Q$1),MATCH($A37,Profit_and_Loss_Categories,0))," "))</f>
        <v>0</v>
      </c>
    </row>
    <row r="38" spans="1:17" x14ac:dyDescent="0.2">
      <c r="A38" s="116" t="s">
        <v>18</v>
      </c>
      <c r="C38" s="66" t="s">
        <v>101</v>
      </c>
      <c r="D38" s="103" t="str">
        <f t="shared" si="6"/>
        <v xml:space="preserve"> </v>
      </c>
      <c r="F38" s="73">
        <f ca="1">IF(AND(F$5&gt;=Forecast_Start_Date,$A38&gt;0),IF($C38="Revenue Model",INDEX(Revenue_Forecast_Array,MATCH(F$5,Revenue_Model_Months,0)),IF($C38="% of Sales",$D38*F$16,IF($C38="Payroll Model",SUMIFS('Payroll Model'!I:I,Payroll_Mappings,'Operating Model'!$A38),IF($C38="Continue Last Month",E38," ")))),IF($A38&gt;0,INDEX(INDIRECT(F$1),MATCH($A38,Profit_and_Loss_Categories,0))," "))</f>
        <v>550</v>
      </c>
      <c r="G38" s="73">
        <f ca="1">IF(AND(G$5&gt;=Forecast_Start_Date,$A38&gt;0),IF($C38="Revenue Model",INDEX(Revenue_Forecast_Array,MATCH(G$5,Revenue_Model_Months,0)),IF($C38="% of Sales",$D38*G$16,IF($C38="Payroll Model",SUMIFS('Payroll Model'!J:J,Payroll_Mappings,'Operating Model'!$A38),IF($C38="Continue Last Month",F38," ")))),IF($A38&gt;0,INDEX(INDIRECT(G$1),MATCH($A38,Profit_and_Loss_Categories,0))," "))</f>
        <v>1100</v>
      </c>
      <c r="H38" s="73">
        <f ca="1">IF(AND(H$5&gt;=Forecast_Start_Date,$A38&gt;0),IF($C38="Revenue Model",INDEX(Revenue_Forecast_Array,MATCH(H$5,Revenue_Model_Months,0)),IF($C38="% of Sales",$D38*H$16,IF($C38="Payroll Model",SUMIFS('Payroll Model'!K:K,Payroll_Mappings,'Operating Model'!$A38),IF($C38="Continue Last Month",G38," ")))),IF($A38&gt;0,INDEX(INDIRECT(H$1),MATCH($A38,Profit_and_Loss_Categories,0))," "))</f>
        <v>1650</v>
      </c>
      <c r="I38" s="68">
        <f ca="1">IF(AND(I$5&gt;=Forecast_Start_Date,$A38&gt;0),IF($C38="Revenue Model",INDEX(Revenue_Forecast_Array,MATCH(I$5,Revenue_Model_Months,0)),IF($C38="% of Sales",$D38*I$16,IF($C38="Payroll Model",SUMIFS('Payroll Model'!L:L,Payroll_Mappings,'Operating Model'!$A38),IF($C38="Continue Last Month",H38," ")))),IF($A38&gt;0,INDEX(INDIRECT(I$1),MATCH($A38,Profit_and_Loss_Categories,0))," "))</f>
        <v>0</v>
      </c>
      <c r="J38" s="68">
        <f ca="1">IF(AND(J$5&gt;=Forecast_Start_Date,$A38&gt;0),IF($C38="Revenue Model",INDEX(Revenue_Forecast_Array,MATCH(J$5,Revenue_Model_Months,0)),IF($C38="% of Sales",$D38*J$16,IF($C38="Payroll Model",SUMIFS('Payroll Model'!M:M,Payroll_Mappings,'Operating Model'!$A38),IF($C38="Continue Last Month",I38," ")))),IF($A38&gt;0,INDEX(INDIRECT(J$1),MATCH($A38,Profit_and_Loss_Categories,0))," "))</f>
        <v>0</v>
      </c>
      <c r="K38" s="68">
        <f ca="1">IF(AND(K$5&gt;=Forecast_Start_Date,$A38&gt;0),IF($C38="Revenue Model",INDEX(Revenue_Forecast_Array,MATCH(K$5,Revenue_Model_Months,0)),IF($C38="% of Sales",$D38*K$16,IF($C38="Payroll Model",SUMIFS('Payroll Model'!N:N,Payroll_Mappings,'Operating Model'!$A38),IF($C38="Continue Last Month",J38," ")))),IF($A38&gt;0,INDEX(INDIRECT(K$1),MATCH($A38,Profit_and_Loss_Categories,0))," "))</f>
        <v>0</v>
      </c>
      <c r="L38" s="68">
        <f ca="1">IF(AND(L$5&gt;=Forecast_Start_Date,$A38&gt;0),IF($C38="Revenue Model",INDEX(Revenue_Forecast_Array,MATCH(L$5,Revenue_Model_Months,0)),IF($C38="% of Sales",$D38*L$16,IF($C38="Payroll Model",SUMIFS('Payroll Model'!O:O,Payroll_Mappings,'Operating Model'!$A38),IF($C38="Continue Last Month",K38," ")))),IF($A38&gt;0,INDEX(INDIRECT(L$1),MATCH($A38,Profit_and_Loss_Categories,0))," "))</f>
        <v>0</v>
      </c>
      <c r="M38" s="68">
        <f ca="1">IF(AND(M$5&gt;=Forecast_Start_Date,$A38&gt;0),IF($C38="Revenue Model",INDEX(Revenue_Forecast_Array,MATCH(M$5,Revenue_Model_Months,0)),IF($C38="% of Sales",$D38*M$16,IF($C38="Payroll Model",SUMIFS('Payroll Model'!P:P,Payroll_Mappings,'Operating Model'!$A38),IF($C38="Continue Last Month",L38," ")))),IF($A38&gt;0,INDEX(INDIRECT(M$1),MATCH($A38,Profit_and_Loss_Categories,0))," "))</f>
        <v>0</v>
      </c>
      <c r="N38" s="68">
        <f ca="1">IF(AND(N$5&gt;=Forecast_Start_Date,$A38&gt;0),IF($C38="Revenue Model",INDEX(Revenue_Forecast_Array,MATCH(N$5,Revenue_Model_Months,0)),IF($C38="% of Sales",$D38*N$16,IF($C38="Payroll Model",SUMIFS('Payroll Model'!Q:Q,Payroll_Mappings,'Operating Model'!$A38),IF($C38="Continue Last Month",M38," ")))),IF($A38&gt;0,INDEX(INDIRECT(N$1),MATCH($A38,Profit_and_Loss_Categories,0))," "))</f>
        <v>0</v>
      </c>
      <c r="O38" s="68">
        <f ca="1">IF(AND(O$5&gt;=Forecast_Start_Date,$A38&gt;0),IF($C38="Revenue Model",INDEX(Revenue_Forecast_Array,MATCH(O$5,Revenue_Model_Months,0)),IF($C38="% of Sales",$D38*O$16,IF($C38="Payroll Model",SUMIFS('Payroll Model'!R:R,Payroll_Mappings,'Operating Model'!$A38),IF($C38="Continue Last Month",N38," ")))),IF($A38&gt;0,INDEX(INDIRECT(O$1),MATCH($A38,Profit_and_Loss_Categories,0))," "))</f>
        <v>0</v>
      </c>
      <c r="P38" s="68">
        <f ca="1">IF(AND(P$5&gt;=Forecast_Start_Date,$A38&gt;0),IF($C38="Revenue Model",INDEX(Revenue_Forecast_Array,MATCH(P$5,Revenue_Model_Months,0)),IF($C38="% of Sales",$D38*P$16,IF($C38="Payroll Model",SUMIFS('Payroll Model'!S:S,Payroll_Mappings,'Operating Model'!$A38),IF($C38="Continue Last Month",O38," ")))),IF($A38&gt;0,INDEX(INDIRECT(P$1),MATCH($A38,Profit_and_Loss_Categories,0))," "))</f>
        <v>0</v>
      </c>
      <c r="Q38" s="68">
        <f ca="1">IF(AND(Q$5&gt;=Forecast_Start_Date,$A38&gt;0),IF($C38="Revenue Model",INDEX(Revenue_Forecast_Array,MATCH(Q$5,Revenue_Model_Months,0)),IF($C38="% of Sales",$D38*Q$16,IF($C38="Payroll Model",SUMIFS('Payroll Model'!T:T,Payroll_Mappings,'Operating Model'!$A38),IF($C38="Continue Last Month",P38," ")))),IF($A38&gt;0,INDEX(INDIRECT(Q$1),MATCH($A38,Profit_and_Loss_Categories,0))," "))</f>
        <v>0</v>
      </c>
    </row>
    <row r="39" spans="1:17" x14ac:dyDescent="0.2">
      <c r="A39" s="116" t="s">
        <v>94</v>
      </c>
      <c r="C39" s="66" t="s">
        <v>101</v>
      </c>
      <c r="D39" s="103" t="str">
        <f t="shared" si="6"/>
        <v xml:space="preserve"> </v>
      </c>
      <c r="F39" s="73">
        <f ca="1">IF(AND(F$5&gt;=Forecast_Start_Date,$A39&gt;0),IF($C39="Revenue Model",INDEX(Revenue_Forecast_Array,MATCH(F$5,Revenue_Model_Months,0)),IF($C39="% of Sales",$D39*F$16,IF($C39="Payroll Model",SUMIFS('Payroll Model'!I:I,Payroll_Mappings,'Operating Model'!$A39),IF($C39="Continue Last Month",E39," ")))),IF($A39&gt;0,INDEX(INDIRECT(F$1),MATCH($A39,Profit_and_Loss_Categories,0))," "))</f>
        <v>7700</v>
      </c>
      <c r="G39" s="73">
        <f ca="1">IF(AND(G$5&gt;=Forecast_Start_Date,$A39&gt;0),IF($C39="Revenue Model",INDEX(Revenue_Forecast_Array,MATCH(G$5,Revenue_Model_Months,0)),IF($C39="% of Sales",$D39*G$16,IF($C39="Payroll Model",SUMIFS('Payroll Model'!J:J,Payroll_Mappings,'Operating Model'!$A39),IF($C39="Continue Last Month",F39," ")))),IF($A39&gt;0,INDEX(INDIRECT(G$1),MATCH($A39,Profit_and_Loss_Categories,0))," "))</f>
        <v>15400</v>
      </c>
      <c r="H39" s="73">
        <f ca="1">IF(AND(H$5&gt;=Forecast_Start_Date,$A39&gt;0),IF($C39="Revenue Model",INDEX(Revenue_Forecast_Array,MATCH(H$5,Revenue_Model_Months,0)),IF($C39="% of Sales",$D39*H$16,IF($C39="Payroll Model",SUMIFS('Payroll Model'!K:K,Payroll_Mappings,'Operating Model'!$A39),IF($C39="Continue Last Month",G39," ")))),IF($A39&gt;0,INDEX(INDIRECT(H$1),MATCH($A39,Profit_and_Loss_Categories,0))," "))</f>
        <v>23100</v>
      </c>
      <c r="I39" s="68">
        <f ca="1">IF(AND(I$5&gt;=Forecast_Start_Date,$A39&gt;0),IF($C39="Revenue Model",INDEX(Revenue_Forecast_Array,MATCH(I$5,Revenue_Model_Months,0)),IF($C39="% of Sales",$D39*I$16,IF($C39="Payroll Model",SUMIFS('Payroll Model'!L:L,Payroll_Mappings,'Operating Model'!$A39),IF($C39="Continue Last Month",H39," ")))),IF($A39&gt;0,INDEX(INDIRECT(I$1),MATCH($A39,Profit_and_Loss_Categories,0))," "))</f>
        <v>0</v>
      </c>
      <c r="J39" s="68">
        <f ca="1">IF(AND(J$5&gt;=Forecast_Start_Date,$A39&gt;0),IF($C39="Revenue Model",INDEX(Revenue_Forecast_Array,MATCH(J$5,Revenue_Model_Months,0)),IF($C39="% of Sales",$D39*J$16,IF($C39="Payroll Model",SUMIFS('Payroll Model'!M:M,Payroll_Mappings,'Operating Model'!$A39),IF($C39="Continue Last Month",I39," ")))),IF($A39&gt;0,INDEX(INDIRECT(J$1),MATCH($A39,Profit_and_Loss_Categories,0))," "))</f>
        <v>0</v>
      </c>
      <c r="K39" s="68">
        <f ca="1">IF(AND(K$5&gt;=Forecast_Start_Date,$A39&gt;0),IF($C39="Revenue Model",INDEX(Revenue_Forecast_Array,MATCH(K$5,Revenue_Model_Months,0)),IF($C39="% of Sales",$D39*K$16,IF($C39="Payroll Model",SUMIFS('Payroll Model'!N:N,Payroll_Mappings,'Operating Model'!$A39),IF($C39="Continue Last Month",J39," ")))),IF($A39&gt;0,INDEX(INDIRECT(K$1),MATCH($A39,Profit_and_Loss_Categories,0))," "))</f>
        <v>0</v>
      </c>
      <c r="L39" s="68">
        <f ca="1">IF(AND(L$5&gt;=Forecast_Start_Date,$A39&gt;0),IF($C39="Revenue Model",INDEX(Revenue_Forecast_Array,MATCH(L$5,Revenue_Model_Months,0)),IF($C39="% of Sales",$D39*L$16,IF($C39="Payroll Model",SUMIFS('Payroll Model'!O:O,Payroll_Mappings,'Operating Model'!$A39),IF($C39="Continue Last Month",K39," ")))),IF($A39&gt;0,INDEX(INDIRECT(L$1),MATCH($A39,Profit_and_Loss_Categories,0))," "))</f>
        <v>0</v>
      </c>
      <c r="M39" s="68">
        <f ca="1">IF(AND(M$5&gt;=Forecast_Start_Date,$A39&gt;0),IF($C39="Revenue Model",INDEX(Revenue_Forecast_Array,MATCH(M$5,Revenue_Model_Months,0)),IF($C39="% of Sales",$D39*M$16,IF($C39="Payroll Model",SUMIFS('Payroll Model'!P:P,Payroll_Mappings,'Operating Model'!$A39),IF($C39="Continue Last Month",L39," ")))),IF($A39&gt;0,INDEX(INDIRECT(M$1),MATCH($A39,Profit_and_Loss_Categories,0))," "))</f>
        <v>0</v>
      </c>
      <c r="N39" s="68">
        <f ca="1">IF(AND(N$5&gt;=Forecast_Start_Date,$A39&gt;0),IF($C39="Revenue Model",INDEX(Revenue_Forecast_Array,MATCH(N$5,Revenue_Model_Months,0)),IF($C39="% of Sales",$D39*N$16,IF($C39="Payroll Model",SUMIFS('Payroll Model'!Q:Q,Payroll_Mappings,'Operating Model'!$A39),IF($C39="Continue Last Month",M39," ")))),IF($A39&gt;0,INDEX(INDIRECT(N$1),MATCH($A39,Profit_and_Loss_Categories,0))," "))</f>
        <v>0</v>
      </c>
      <c r="O39" s="68">
        <f ca="1">IF(AND(O$5&gt;=Forecast_Start_Date,$A39&gt;0),IF($C39="Revenue Model",INDEX(Revenue_Forecast_Array,MATCH(O$5,Revenue_Model_Months,0)),IF($C39="% of Sales",$D39*O$16,IF($C39="Payroll Model",SUMIFS('Payroll Model'!R:R,Payroll_Mappings,'Operating Model'!$A39),IF($C39="Continue Last Month",N39," ")))),IF($A39&gt;0,INDEX(INDIRECT(O$1),MATCH($A39,Profit_and_Loss_Categories,0))," "))</f>
        <v>0</v>
      </c>
      <c r="P39" s="68">
        <f ca="1">IF(AND(P$5&gt;=Forecast_Start_Date,$A39&gt;0),IF($C39="Revenue Model",INDEX(Revenue_Forecast_Array,MATCH(P$5,Revenue_Model_Months,0)),IF($C39="% of Sales",$D39*P$16,IF($C39="Payroll Model",SUMIFS('Payroll Model'!S:S,Payroll_Mappings,'Operating Model'!$A39),IF($C39="Continue Last Month",O39," ")))),IF($A39&gt;0,INDEX(INDIRECT(P$1),MATCH($A39,Profit_and_Loss_Categories,0))," "))</f>
        <v>0</v>
      </c>
      <c r="Q39" s="68">
        <f ca="1">IF(AND(Q$5&gt;=Forecast_Start_Date,$A39&gt;0),IF($C39="Revenue Model",INDEX(Revenue_Forecast_Array,MATCH(Q$5,Revenue_Model_Months,0)),IF($C39="% of Sales",$D39*Q$16,IF($C39="Payroll Model",SUMIFS('Payroll Model'!T:T,Payroll_Mappings,'Operating Model'!$A39),IF($C39="Continue Last Month",P39," ")))),IF($A39&gt;0,INDEX(INDIRECT(Q$1),MATCH($A39,Profit_and_Loss_Categories,0))," "))</f>
        <v>0</v>
      </c>
    </row>
    <row r="40" spans="1:17" x14ac:dyDescent="0.2">
      <c r="A40" s="116" t="s">
        <v>129</v>
      </c>
      <c r="C40" s="66" t="s">
        <v>101</v>
      </c>
      <c r="D40" s="103" t="str">
        <f t="shared" si="6"/>
        <v xml:space="preserve"> </v>
      </c>
      <c r="F40" s="73">
        <f ca="1">IF(AND(F$5&gt;=Forecast_Start_Date,$A40&gt;0),IF($C40="Revenue Model",INDEX(Revenue_Forecast_Array,MATCH(F$5,Revenue_Model_Months,0)),IF($C40="% of Sales",$D40*F$16,IF($C40="Payroll Model",SUMIFS('Payroll Model'!I:I,Payroll_Mappings,'Operating Model'!$A40),IF($C40="Continue Last Month",E40," ")))),IF($A40&gt;0,INDEX(INDIRECT(F$1),MATCH($A40,Profit_and_Loss_Categories,0))," "))</f>
        <v>1800</v>
      </c>
      <c r="G40" s="73">
        <f ca="1">IF(AND(G$5&gt;=Forecast_Start_Date,$A40&gt;0),IF($C40="Revenue Model",INDEX(Revenue_Forecast_Array,MATCH(G$5,Revenue_Model_Months,0)),IF($C40="% of Sales",$D40*G$16,IF($C40="Payroll Model",SUMIFS('Payroll Model'!J:J,Payroll_Mappings,'Operating Model'!$A40),IF($C40="Continue Last Month",F40," ")))),IF($A40&gt;0,INDEX(INDIRECT(G$1),MATCH($A40,Profit_and_Loss_Categories,0))," "))</f>
        <v>1900</v>
      </c>
      <c r="H40" s="73">
        <f ca="1">IF(AND(H$5&gt;=Forecast_Start_Date,$A40&gt;0),IF($C40="Revenue Model",INDEX(Revenue_Forecast_Array,MATCH(H$5,Revenue_Model_Months,0)),IF($C40="% of Sales",$D40*H$16,IF($C40="Payroll Model",SUMIFS('Payroll Model'!K:K,Payroll_Mappings,'Operating Model'!$A40),IF($C40="Continue Last Month",G40," ")))),IF($A40&gt;0,INDEX(INDIRECT(H$1),MATCH($A40,Profit_and_Loss_Categories,0))," "))</f>
        <v>2000</v>
      </c>
      <c r="I40" s="68">
        <f ca="1">IF(AND(I$5&gt;=Forecast_Start_Date,$A40&gt;0),IF($C40="Revenue Model",INDEX(Revenue_Forecast_Array,MATCH(I$5,Revenue_Model_Months,0)),IF($C40="% of Sales",$D40*I$16,IF($C40="Payroll Model",SUMIFS('Payroll Model'!L:L,Payroll_Mappings,'Operating Model'!$A40),IF($C40="Continue Last Month",H40," ")))),IF($A40&gt;0,INDEX(INDIRECT(I$1),MATCH($A40,Profit_and_Loss_Categories,0))," "))</f>
        <v>0</v>
      </c>
      <c r="J40" s="68">
        <f ca="1">IF(AND(J$5&gt;=Forecast_Start_Date,$A40&gt;0),IF($C40="Revenue Model",INDEX(Revenue_Forecast_Array,MATCH(J$5,Revenue_Model_Months,0)),IF($C40="% of Sales",$D40*J$16,IF($C40="Payroll Model",SUMIFS('Payroll Model'!M:M,Payroll_Mappings,'Operating Model'!$A40),IF($C40="Continue Last Month",I40," ")))),IF($A40&gt;0,INDEX(INDIRECT(J$1),MATCH($A40,Profit_and_Loss_Categories,0))," "))</f>
        <v>0</v>
      </c>
      <c r="K40" s="68">
        <f ca="1">IF(AND(K$5&gt;=Forecast_Start_Date,$A40&gt;0),IF($C40="Revenue Model",INDEX(Revenue_Forecast_Array,MATCH(K$5,Revenue_Model_Months,0)),IF($C40="% of Sales",$D40*K$16,IF($C40="Payroll Model",SUMIFS('Payroll Model'!N:N,Payroll_Mappings,'Operating Model'!$A40),IF($C40="Continue Last Month",J40," ")))),IF($A40&gt;0,INDEX(INDIRECT(K$1),MATCH($A40,Profit_and_Loss_Categories,0))," "))</f>
        <v>0</v>
      </c>
      <c r="L40" s="68">
        <f ca="1">IF(AND(L$5&gt;=Forecast_Start_Date,$A40&gt;0),IF($C40="Revenue Model",INDEX(Revenue_Forecast_Array,MATCH(L$5,Revenue_Model_Months,0)),IF($C40="% of Sales",$D40*L$16,IF($C40="Payroll Model",SUMIFS('Payroll Model'!O:O,Payroll_Mappings,'Operating Model'!$A40),IF($C40="Continue Last Month",K40," ")))),IF($A40&gt;0,INDEX(INDIRECT(L$1),MATCH($A40,Profit_and_Loss_Categories,0))," "))</f>
        <v>0</v>
      </c>
      <c r="M40" s="68">
        <f ca="1">IF(AND(M$5&gt;=Forecast_Start_Date,$A40&gt;0),IF($C40="Revenue Model",INDEX(Revenue_Forecast_Array,MATCH(M$5,Revenue_Model_Months,0)),IF($C40="% of Sales",$D40*M$16,IF($C40="Payroll Model",SUMIFS('Payroll Model'!P:P,Payroll_Mappings,'Operating Model'!$A40),IF($C40="Continue Last Month",L40," ")))),IF($A40&gt;0,INDEX(INDIRECT(M$1),MATCH($A40,Profit_and_Loss_Categories,0))," "))</f>
        <v>0</v>
      </c>
      <c r="N40" s="68">
        <f ca="1">IF(AND(N$5&gt;=Forecast_Start_Date,$A40&gt;0),IF($C40="Revenue Model",INDEX(Revenue_Forecast_Array,MATCH(N$5,Revenue_Model_Months,0)),IF($C40="% of Sales",$D40*N$16,IF($C40="Payroll Model",SUMIFS('Payroll Model'!Q:Q,Payroll_Mappings,'Operating Model'!$A40),IF($C40="Continue Last Month",M40," ")))),IF($A40&gt;0,INDEX(INDIRECT(N$1),MATCH($A40,Profit_and_Loss_Categories,0))," "))</f>
        <v>0</v>
      </c>
      <c r="O40" s="68">
        <f ca="1">IF(AND(O$5&gt;=Forecast_Start_Date,$A40&gt;0),IF($C40="Revenue Model",INDEX(Revenue_Forecast_Array,MATCH(O$5,Revenue_Model_Months,0)),IF($C40="% of Sales",$D40*O$16,IF($C40="Payroll Model",SUMIFS('Payroll Model'!R:R,Payroll_Mappings,'Operating Model'!$A40),IF($C40="Continue Last Month",N40," ")))),IF($A40&gt;0,INDEX(INDIRECT(O$1),MATCH($A40,Profit_and_Loss_Categories,0))," "))</f>
        <v>0</v>
      </c>
      <c r="P40" s="68">
        <f ca="1">IF(AND(P$5&gt;=Forecast_Start_Date,$A40&gt;0),IF($C40="Revenue Model",INDEX(Revenue_Forecast_Array,MATCH(P$5,Revenue_Model_Months,0)),IF($C40="% of Sales",$D40*P$16,IF($C40="Payroll Model",SUMIFS('Payroll Model'!S:S,Payroll_Mappings,'Operating Model'!$A40),IF($C40="Continue Last Month",O40," ")))),IF($A40&gt;0,INDEX(INDIRECT(P$1),MATCH($A40,Profit_and_Loss_Categories,0))," "))</f>
        <v>0</v>
      </c>
      <c r="Q40" s="68">
        <f ca="1">IF(AND(Q$5&gt;=Forecast_Start_Date,$A40&gt;0),IF($C40="Revenue Model",INDEX(Revenue_Forecast_Array,MATCH(Q$5,Revenue_Model_Months,0)),IF($C40="% of Sales",$D40*Q$16,IF($C40="Payroll Model",SUMIFS('Payroll Model'!T:T,Payroll_Mappings,'Operating Model'!$A40),IF($C40="Continue Last Month",P40," ")))),IF($A40&gt;0,INDEX(INDIRECT(Q$1),MATCH($A40,Profit_and_Loss_Categories,0))," "))</f>
        <v>0</v>
      </c>
    </row>
    <row r="41" spans="1:17" x14ac:dyDescent="0.2">
      <c r="A41" s="116" t="s">
        <v>27</v>
      </c>
      <c r="C41" s="66" t="s">
        <v>101</v>
      </c>
      <c r="D41" s="103" t="str">
        <f t="shared" si="6"/>
        <v xml:space="preserve"> </v>
      </c>
      <c r="F41" s="73">
        <f ca="1">IF(AND(F$5&gt;=Forecast_Start_Date,$A41&gt;0),IF($C41="Revenue Model",INDEX(Revenue_Forecast_Array,MATCH(F$5,Revenue_Model_Months,0)),IF($C41="% of Sales",$D41*F$16,IF($C41="Payroll Model",SUMIFS('Payroll Model'!I:I,Payroll_Mappings,'Operating Model'!$A41),IF($C41="Continue Last Month",E41," ")))),IF($A41&gt;0,INDEX(INDIRECT(F$1),MATCH($A41,Profit_and_Loss_Categories,0))," "))</f>
        <v>200</v>
      </c>
      <c r="G41" s="73">
        <f ca="1">IF(AND(G$5&gt;=Forecast_Start_Date,$A41&gt;0),IF($C41="Revenue Model",INDEX(Revenue_Forecast_Array,MATCH(G$5,Revenue_Model_Months,0)),IF($C41="% of Sales",$D41*G$16,IF($C41="Payroll Model",SUMIFS('Payroll Model'!J:J,Payroll_Mappings,'Operating Model'!$A41),IF($C41="Continue Last Month",F41," ")))),IF($A41&gt;0,INDEX(INDIRECT(G$1),MATCH($A41,Profit_and_Loss_Categories,0))," "))</f>
        <v>200</v>
      </c>
      <c r="H41" s="73">
        <f ca="1">IF(AND(H$5&gt;=Forecast_Start_Date,$A41&gt;0),IF($C41="Revenue Model",INDEX(Revenue_Forecast_Array,MATCH(H$5,Revenue_Model_Months,0)),IF($C41="% of Sales",$D41*H$16,IF($C41="Payroll Model",SUMIFS('Payroll Model'!K:K,Payroll_Mappings,'Operating Model'!$A41),IF($C41="Continue Last Month",G41," ")))),IF($A41&gt;0,INDEX(INDIRECT(H$1),MATCH($A41,Profit_and_Loss_Categories,0))," "))</f>
        <v>200</v>
      </c>
      <c r="I41" s="68">
        <f ca="1">IF(AND(I$5&gt;=Forecast_Start_Date,$A41&gt;0),IF($C41="Revenue Model",INDEX(Revenue_Forecast_Array,MATCH(I$5,Revenue_Model_Months,0)),IF($C41="% of Sales",$D41*I$16,IF($C41="Payroll Model",SUMIFS('Payroll Model'!L:L,Payroll_Mappings,'Operating Model'!$A41),IF($C41="Continue Last Month",H41," ")))),IF($A41&gt;0,INDEX(INDIRECT(I$1),MATCH($A41,Profit_and_Loss_Categories,0))," "))</f>
        <v>0</v>
      </c>
      <c r="J41" s="68">
        <f ca="1">IF(AND(J$5&gt;=Forecast_Start_Date,$A41&gt;0),IF($C41="Revenue Model",INDEX(Revenue_Forecast_Array,MATCH(J$5,Revenue_Model_Months,0)),IF($C41="% of Sales",$D41*J$16,IF($C41="Payroll Model",SUMIFS('Payroll Model'!M:M,Payroll_Mappings,'Operating Model'!$A41),IF($C41="Continue Last Month",I41," ")))),IF($A41&gt;0,INDEX(INDIRECT(J$1),MATCH($A41,Profit_and_Loss_Categories,0))," "))</f>
        <v>0</v>
      </c>
      <c r="K41" s="68">
        <f ca="1">IF(AND(K$5&gt;=Forecast_Start_Date,$A41&gt;0),IF($C41="Revenue Model",INDEX(Revenue_Forecast_Array,MATCH(K$5,Revenue_Model_Months,0)),IF($C41="% of Sales",$D41*K$16,IF($C41="Payroll Model",SUMIFS('Payroll Model'!N:N,Payroll_Mappings,'Operating Model'!$A41),IF($C41="Continue Last Month",J41," ")))),IF($A41&gt;0,INDEX(INDIRECT(K$1),MATCH($A41,Profit_and_Loss_Categories,0))," "))</f>
        <v>0</v>
      </c>
      <c r="L41" s="68">
        <f ca="1">IF(AND(L$5&gt;=Forecast_Start_Date,$A41&gt;0),IF($C41="Revenue Model",INDEX(Revenue_Forecast_Array,MATCH(L$5,Revenue_Model_Months,0)),IF($C41="% of Sales",$D41*L$16,IF($C41="Payroll Model",SUMIFS('Payroll Model'!O:O,Payroll_Mappings,'Operating Model'!$A41),IF($C41="Continue Last Month",K41," ")))),IF($A41&gt;0,INDEX(INDIRECT(L$1),MATCH($A41,Profit_and_Loss_Categories,0))," "))</f>
        <v>0</v>
      </c>
      <c r="M41" s="68">
        <f ca="1">IF(AND(M$5&gt;=Forecast_Start_Date,$A41&gt;0),IF($C41="Revenue Model",INDEX(Revenue_Forecast_Array,MATCH(M$5,Revenue_Model_Months,0)),IF($C41="% of Sales",$D41*M$16,IF($C41="Payroll Model",SUMIFS('Payroll Model'!P:P,Payroll_Mappings,'Operating Model'!$A41),IF($C41="Continue Last Month",L41," ")))),IF($A41&gt;0,INDEX(INDIRECT(M$1),MATCH($A41,Profit_and_Loss_Categories,0))," "))</f>
        <v>0</v>
      </c>
      <c r="N41" s="68">
        <f ca="1">IF(AND(N$5&gt;=Forecast_Start_Date,$A41&gt;0),IF($C41="Revenue Model",INDEX(Revenue_Forecast_Array,MATCH(N$5,Revenue_Model_Months,0)),IF($C41="% of Sales",$D41*N$16,IF($C41="Payroll Model",SUMIFS('Payroll Model'!Q:Q,Payroll_Mappings,'Operating Model'!$A41),IF($C41="Continue Last Month",M41," ")))),IF($A41&gt;0,INDEX(INDIRECT(N$1),MATCH($A41,Profit_and_Loss_Categories,0))," "))</f>
        <v>0</v>
      </c>
      <c r="O41" s="68">
        <f ca="1">IF(AND(O$5&gt;=Forecast_Start_Date,$A41&gt;0),IF($C41="Revenue Model",INDEX(Revenue_Forecast_Array,MATCH(O$5,Revenue_Model_Months,0)),IF($C41="% of Sales",$D41*O$16,IF($C41="Payroll Model",SUMIFS('Payroll Model'!R:R,Payroll_Mappings,'Operating Model'!$A41),IF($C41="Continue Last Month",N41," ")))),IF($A41&gt;0,INDEX(INDIRECT(O$1),MATCH($A41,Profit_and_Loss_Categories,0))," "))</f>
        <v>0</v>
      </c>
      <c r="P41" s="68">
        <f ca="1">IF(AND(P$5&gt;=Forecast_Start_Date,$A41&gt;0),IF($C41="Revenue Model",INDEX(Revenue_Forecast_Array,MATCH(P$5,Revenue_Model_Months,0)),IF($C41="% of Sales",$D41*P$16,IF($C41="Payroll Model",SUMIFS('Payroll Model'!S:S,Payroll_Mappings,'Operating Model'!$A41),IF($C41="Continue Last Month",O41," ")))),IF($A41&gt;0,INDEX(INDIRECT(P$1),MATCH($A41,Profit_and_Loss_Categories,0))," "))</f>
        <v>0</v>
      </c>
      <c r="Q41" s="68">
        <f ca="1">IF(AND(Q$5&gt;=Forecast_Start_Date,$A41&gt;0),IF($C41="Revenue Model",INDEX(Revenue_Forecast_Array,MATCH(Q$5,Revenue_Model_Months,0)),IF($C41="% of Sales",$D41*Q$16,IF($C41="Payroll Model",SUMIFS('Payroll Model'!T:T,Payroll_Mappings,'Operating Model'!$A41),IF($C41="Continue Last Month",P41," ")))),IF($A41&gt;0,INDEX(INDIRECT(Q$1),MATCH($A41,Profit_and_Loss_Categories,0))," "))</f>
        <v>0</v>
      </c>
    </row>
    <row r="42" spans="1:17" x14ac:dyDescent="0.2">
      <c r="A42" s="117" t="s">
        <v>26</v>
      </c>
      <c r="C42" s="66" t="s">
        <v>101</v>
      </c>
      <c r="D42" s="103" t="str">
        <f t="shared" si="6"/>
        <v xml:space="preserve"> </v>
      </c>
      <c r="F42" s="73">
        <f ca="1">IF(AND(F$5&gt;=Forecast_Start_Date,$A42&gt;0),IF($C42="Revenue Model",INDEX(Revenue_Forecast_Array,MATCH(F$5,Revenue_Model_Months,0)),IF($C42="% of Sales",$D42*F$16,IF($C42="Payroll Model",SUMIFS('Payroll Model'!I:I,Payroll_Mappings,'Operating Model'!$A42),IF($C42="Continue Last Month",E42," ")))),IF($A42&gt;0,INDEX(INDIRECT(F$1),MATCH($A42,Profit_and_Loss_Categories,0))," "))</f>
        <v>200</v>
      </c>
      <c r="G42" s="73">
        <f ca="1">IF(AND(G$5&gt;=Forecast_Start_Date,$A42&gt;0),IF($C42="Revenue Model",INDEX(Revenue_Forecast_Array,MATCH(G$5,Revenue_Model_Months,0)),IF($C42="% of Sales",$D42*G$16,IF($C42="Payroll Model",SUMIFS('Payroll Model'!J:J,Payroll_Mappings,'Operating Model'!$A42),IF($C42="Continue Last Month",F42," ")))),IF($A42&gt;0,INDEX(INDIRECT(G$1),MATCH($A42,Profit_and_Loss_Categories,0))," "))</f>
        <v>200</v>
      </c>
      <c r="H42" s="73">
        <f ca="1">IF(AND(H$5&gt;=Forecast_Start_Date,$A42&gt;0),IF($C42="Revenue Model",INDEX(Revenue_Forecast_Array,MATCH(H$5,Revenue_Model_Months,0)),IF($C42="% of Sales",$D42*H$16,IF($C42="Payroll Model",SUMIFS('Payroll Model'!K:K,Payroll_Mappings,'Operating Model'!$A42),IF($C42="Continue Last Month",G42," ")))),IF($A42&gt;0,INDEX(INDIRECT(H$1),MATCH($A42,Profit_and_Loss_Categories,0))," "))</f>
        <v>200</v>
      </c>
      <c r="I42" s="68">
        <f ca="1">IF(AND(I$5&gt;=Forecast_Start_Date,$A42&gt;0),IF($C42="Revenue Model",INDEX(Revenue_Forecast_Array,MATCH(I$5,Revenue_Model_Months,0)),IF($C42="% of Sales",$D42*I$16,IF($C42="Payroll Model",SUMIFS('Payroll Model'!L:L,Payroll_Mappings,'Operating Model'!$A42),IF($C42="Continue Last Month",H42," ")))),IF($A42&gt;0,INDEX(INDIRECT(I$1),MATCH($A42,Profit_and_Loss_Categories,0))," "))</f>
        <v>0</v>
      </c>
      <c r="J42" s="68">
        <f ca="1">IF(AND(J$5&gt;=Forecast_Start_Date,$A42&gt;0),IF($C42="Revenue Model",INDEX(Revenue_Forecast_Array,MATCH(J$5,Revenue_Model_Months,0)),IF($C42="% of Sales",$D42*J$16,IF($C42="Payroll Model",SUMIFS('Payroll Model'!M:M,Payroll_Mappings,'Operating Model'!$A42),IF($C42="Continue Last Month",I42," ")))),IF($A42&gt;0,INDEX(INDIRECT(J$1),MATCH($A42,Profit_and_Loss_Categories,0))," "))</f>
        <v>0</v>
      </c>
      <c r="K42" s="68">
        <f ca="1">IF(AND(K$5&gt;=Forecast_Start_Date,$A42&gt;0),IF($C42="Revenue Model",INDEX(Revenue_Forecast_Array,MATCH(K$5,Revenue_Model_Months,0)),IF($C42="% of Sales",$D42*K$16,IF($C42="Payroll Model",SUMIFS('Payroll Model'!N:N,Payroll_Mappings,'Operating Model'!$A42),IF($C42="Continue Last Month",J42," ")))),IF($A42&gt;0,INDEX(INDIRECT(K$1),MATCH($A42,Profit_and_Loss_Categories,0))," "))</f>
        <v>0</v>
      </c>
      <c r="L42" s="68">
        <f ca="1">IF(AND(L$5&gt;=Forecast_Start_Date,$A42&gt;0),IF($C42="Revenue Model",INDEX(Revenue_Forecast_Array,MATCH(L$5,Revenue_Model_Months,0)),IF($C42="% of Sales",$D42*L$16,IF($C42="Payroll Model",SUMIFS('Payroll Model'!O:O,Payroll_Mappings,'Operating Model'!$A42),IF($C42="Continue Last Month",K42," ")))),IF($A42&gt;0,INDEX(INDIRECT(L$1),MATCH($A42,Profit_and_Loss_Categories,0))," "))</f>
        <v>0</v>
      </c>
      <c r="M42" s="68">
        <f ca="1">IF(AND(M$5&gt;=Forecast_Start_Date,$A42&gt;0),IF($C42="Revenue Model",INDEX(Revenue_Forecast_Array,MATCH(M$5,Revenue_Model_Months,0)),IF($C42="% of Sales",$D42*M$16,IF($C42="Payroll Model",SUMIFS('Payroll Model'!P:P,Payroll_Mappings,'Operating Model'!$A42),IF($C42="Continue Last Month",L42," ")))),IF($A42&gt;0,INDEX(INDIRECT(M$1),MATCH($A42,Profit_and_Loss_Categories,0))," "))</f>
        <v>0</v>
      </c>
      <c r="N42" s="68">
        <f ca="1">IF(AND(N$5&gt;=Forecast_Start_Date,$A42&gt;0),IF($C42="Revenue Model",INDEX(Revenue_Forecast_Array,MATCH(N$5,Revenue_Model_Months,0)),IF($C42="% of Sales",$D42*N$16,IF($C42="Payroll Model",SUMIFS('Payroll Model'!Q:Q,Payroll_Mappings,'Operating Model'!$A42),IF($C42="Continue Last Month",M42," ")))),IF($A42&gt;0,INDEX(INDIRECT(N$1),MATCH($A42,Profit_and_Loss_Categories,0))," "))</f>
        <v>0</v>
      </c>
      <c r="O42" s="68">
        <f ca="1">IF(AND(O$5&gt;=Forecast_Start_Date,$A42&gt;0),IF($C42="Revenue Model",INDEX(Revenue_Forecast_Array,MATCH(O$5,Revenue_Model_Months,0)),IF($C42="% of Sales",$D42*O$16,IF($C42="Payroll Model",SUMIFS('Payroll Model'!R:R,Payroll_Mappings,'Operating Model'!$A42),IF($C42="Continue Last Month",N42," ")))),IF($A42&gt;0,INDEX(INDIRECT(O$1),MATCH($A42,Profit_and_Loss_Categories,0))," "))</f>
        <v>0</v>
      </c>
      <c r="P42" s="68">
        <f ca="1">IF(AND(P$5&gt;=Forecast_Start_Date,$A42&gt;0),IF($C42="Revenue Model",INDEX(Revenue_Forecast_Array,MATCH(P$5,Revenue_Model_Months,0)),IF($C42="% of Sales",$D42*P$16,IF($C42="Payroll Model",SUMIFS('Payroll Model'!S:S,Payroll_Mappings,'Operating Model'!$A42),IF($C42="Continue Last Month",O42," ")))),IF($A42&gt;0,INDEX(INDIRECT(P$1),MATCH($A42,Profit_and_Loss_Categories,0))," "))</f>
        <v>0</v>
      </c>
      <c r="Q42" s="68">
        <f ca="1">IF(AND(Q$5&gt;=Forecast_Start_Date,$A42&gt;0),IF($C42="Revenue Model",INDEX(Revenue_Forecast_Array,MATCH(Q$5,Revenue_Model_Months,0)),IF($C42="% of Sales",$D42*Q$16,IF($C42="Payroll Model",SUMIFS('Payroll Model'!T:T,Payroll_Mappings,'Operating Model'!$A42),IF($C42="Continue Last Month",P42," ")))),IF($A42&gt;0,INDEX(INDIRECT(Q$1),MATCH($A42,Profit_and_Loss_Categories,0))," "))</f>
        <v>0</v>
      </c>
    </row>
    <row r="43" spans="1:17" x14ac:dyDescent="0.2">
      <c r="A43" s="118"/>
      <c r="C43" s="66" t="s">
        <v>101</v>
      </c>
      <c r="D43" s="103" t="str">
        <f t="shared" si="6"/>
        <v xml:space="preserve"> </v>
      </c>
      <c r="F43" s="73" t="str">
        <f ca="1">IF(AND(F$5&gt;=Forecast_Start_Date,$A43&gt;0),IF($C43="Revenue Model",INDEX(Revenue_Forecast_Array,MATCH(F$5,Revenue_Model_Months,0)),IF($C43="% of Sales",$D43*F$16,IF($C43="Payroll Model",SUMIFS('Payroll Model'!I:I,Payroll_Mappings,'Operating Model'!$A43),IF($C43="Continue Last Month",E43," ")))),IF($A43&gt;0,INDEX(INDIRECT(F$1),MATCH($A43,Profit_and_Loss_Categories,0))," "))</f>
        <v xml:space="preserve"> </v>
      </c>
      <c r="G43" s="73" t="str">
        <f ca="1">IF(AND(G$5&gt;=Forecast_Start_Date,$A43&gt;0),IF($C43="Revenue Model",INDEX(Revenue_Forecast_Array,MATCH(G$5,Revenue_Model_Months,0)),IF($C43="% of Sales",$D43*G$16,IF($C43="Payroll Model",SUMIFS('Payroll Model'!J:J,Payroll_Mappings,'Operating Model'!$A43),IF($C43="Continue Last Month",F43," ")))),IF($A43&gt;0,INDEX(INDIRECT(G$1),MATCH($A43,Profit_and_Loss_Categories,0))," "))</f>
        <v xml:space="preserve"> </v>
      </c>
      <c r="H43" s="73" t="str">
        <f ca="1">IF(AND(H$5&gt;=Forecast_Start_Date,$A43&gt;0),IF($C43="Revenue Model",INDEX(Revenue_Forecast_Array,MATCH(H$5,Revenue_Model_Months,0)),IF($C43="% of Sales",$D43*H$16,IF($C43="Payroll Model",SUMIFS('Payroll Model'!K:K,Payroll_Mappings,'Operating Model'!$A43),IF($C43="Continue Last Month",G43," ")))),IF($A43&gt;0,INDEX(INDIRECT(H$1),MATCH($A43,Profit_and_Loss_Categories,0))," "))</f>
        <v xml:space="preserve"> </v>
      </c>
      <c r="I43" s="68" t="str">
        <f ca="1">IF(AND(I$5&gt;=Forecast_Start_Date,$A43&gt;0),IF($C43="Revenue Model",INDEX(Revenue_Forecast_Array,MATCH(I$5,Revenue_Model_Months,0)),IF($C43="% of Sales",$D43*I$16,IF($C43="Payroll Model",SUMIFS('Payroll Model'!L:L,Payroll_Mappings,'Operating Model'!$A43),IF($C43="Continue Last Month",H43," ")))),IF($A43&gt;0,INDEX(INDIRECT(I$1),MATCH($A43,Profit_and_Loss_Categories,0))," "))</f>
        <v xml:space="preserve"> </v>
      </c>
      <c r="J43" s="68" t="str">
        <f ca="1">IF(AND(J$5&gt;=Forecast_Start_Date,$A43&gt;0),IF($C43="Revenue Model",INDEX(Revenue_Forecast_Array,MATCH(J$5,Revenue_Model_Months,0)),IF($C43="% of Sales",$D43*J$16,IF($C43="Payroll Model",SUMIFS('Payroll Model'!M:M,Payroll_Mappings,'Operating Model'!$A43),IF($C43="Continue Last Month",I43," ")))),IF($A43&gt;0,INDEX(INDIRECT(J$1),MATCH($A43,Profit_and_Loss_Categories,0))," "))</f>
        <v xml:space="preserve"> </v>
      </c>
      <c r="K43" s="68" t="str">
        <f ca="1">IF(AND(K$5&gt;=Forecast_Start_Date,$A43&gt;0),IF($C43="Revenue Model",INDEX(Revenue_Forecast_Array,MATCH(K$5,Revenue_Model_Months,0)),IF($C43="% of Sales",$D43*K$16,IF($C43="Payroll Model",SUMIFS('Payroll Model'!N:N,Payroll_Mappings,'Operating Model'!$A43),IF($C43="Continue Last Month",J43," ")))),IF($A43&gt;0,INDEX(INDIRECT(K$1),MATCH($A43,Profit_and_Loss_Categories,0))," "))</f>
        <v xml:space="preserve"> </v>
      </c>
      <c r="L43" s="68" t="str">
        <f ca="1">IF(AND(L$5&gt;=Forecast_Start_Date,$A43&gt;0),IF($C43="Revenue Model",INDEX(Revenue_Forecast_Array,MATCH(L$5,Revenue_Model_Months,0)),IF($C43="% of Sales",$D43*L$16,IF($C43="Payroll Model",SUMIFS('Payroll Model'!O:O,Payroll_Mappings,'Operating Model'!$A43),IF($C43="Continue Last Month",K43," ")))),IF($A43&gt;0,INDEX(INDIRECT(L$1),MATCH($A43,Profit_and_Loss_Categories,0))," "))</f>
        <v xml:space="preserve"> </v>
      </c>
      <c r="M43" s="68" t="str">
        <f ca="1">IF(AND(M$5&gt;=Forecast_Start_Date,$A43&gt;0),IF($C43="Revenue Model",INDEX(Revenue_Forecast_Array,MATCH(M$5,Revenue_Model_Months,0)),IF($C43="% of Sales",$D43*M$16,IF($C43="Payroll Model",SUMIFS('Payroll Model'!P:P,Payroll_Mappings,'Operating Model'!$A43),IF($C43="Continue Last Month",L43," ")))),IF($A43&gt;0,INDEX(INDIRECT(M$1),MATCH($A43,Profit_and_Loss_Categories,0))," "))</f>
        <v xml:space="preserve"> </v>
      </c>
      <c r="N43" s="68" t="str">
        <f ca="1">IF(AND(N$5&gt;=Forecast_Start_Date,$A43&gt;0),IF($C43="Revenue Model",INDEX(Revenue_Forecast_Array,MATCH(N$5,Revenue_Model_Months,0)),IF($C43="% of Sales",$D43*N$16,IF($C43="Payroll Model",SUMIFS('Payroll Model'!Q:Q,Payroll_Mappings,'Operating Model'!$A43),IF($C43="Continue Last Month",M43," ")))),IF($A43&gt;0,INDEX(INDIRECT(N$1),MATCH($A43,Profit_and_Loss_Categories,0))," "))</f>
        <v xml:space="preserve"> </v>
      </c>
      <c r="O43" s="68" t="str">
        <f ca="1">IF(AND(O$5&gt;=Forecast_Start_Date,$A43&gt;0),IF($C43="Revenue Model",INDEX(Revenue_Forecast_Array,MATCH(O$5,Revenue_Model_Months,0)),IF($C43="% of Sales",$D43*O$16,IF($C43="Payroll Model",SUMIFS('Payroll Model'!R:R,Payroll_Mappings,'Operating Model'!$A43),IF($C43="Continue Last Month",N43," ")))),IF($A43&gt;0,INDEX(INDIRECT(O$1),MATCH($A43,Profit_and_Loss_Categories,0))," "))</f>
        <v xml:space="preserve"> </v>
      </c>
      <c r="P43" s="68" t="str">
        <f ca="1">IF(AND(P$5&gt;=Forecast_Start_Date,$A43&gt;0),IF($C43="Revenue Model",INDEX(Revenue_Forecast_Array,MATCH(P$5,Revenue_Model_Months,0)),IF($C43="% of Sales",$D43*P$16,IF($C43="Payroll Model",SUMIFS('Payroll Model'!S:S,Payroll_Mappings,'Operating Model'!$A43),IF($C43="Continue Last Month",O43," ")))),IF($A43&gt;0,INDEX(INDIRECT(P$1),MATCH($A43,Profit_and_Loss_Categories,0))," "))</f>
        <v xml:space="preserve"> </v>
      </c>
      <c r="Q43" s="68" t="str">
        <f ca="1">IF(AND(Q$5&gt;=Forecast_Start_Date,$A43&gt;0),IF($C43="Revenue Model",INDEX(Revenue_Forecast_Array,MATCH(Q$5,Revenue_Model_Months,0)),IF($C43="% of Sales",$D43*Q$16,IF($C43="Payroll Model",SUMIFS('Payroll Model'!T:T,Payroll_Mappings,'Operating Model'!$A43),IF($C43="Continue Last Month",P43," ")))),IF($A43&gt;0,INDEX(INDIRECT(Q$1),MATCH($A43,Profit_and_Loss_Categories,0))," "))</f>
        <v xml:space="preserve"> </v>
      </c>
    </row>
    <row r="44" spans="1:17" x14ac:dyDescent="0.2">
      <c r="A44" s="118"/>
      <c r="C44" s="66" t="s">
        <v>101</v>
      </c>
      <c r="D44" s="103" t="str">
        <f t="shared" si="6"/>
        <v xml:space="preserve"> </v>
      </c>
      <c r="F44" s="73" t="str">
        <f ca="1">IF(AND(F$5&gt;=Forecast_Start_Date,$A44&gt;0),IF($C44="Revenue Model",INDEX(Revenue_Forecast_Array,MATCH(F$5,Revenue_Model_Months,0)),IF($C44="% of Sales",$D44*F$16,IF($C44="Payroll Model",SUMIFS('Payroll Model'!I:I,Payroll_Mappings,'Operating Model'!$A44),IF($C44="Continue Last Month",E44," ")))),IF($A44&gt;0,INDEX(INDIRECT(F$1),MATCH($A44,Profit_and_Loss_Categories,0))," "))</f>
        <v xml:space="preserve"> </v>
      </c>
      <c r="G44" s="73" t="str">
        <f ca="1">IF(AND(G$5&gt;=Forecast_Start_Date,$A44&gt;0),IF($C44="Revenue Model",INDEX(Revenue_Forecast_Array,MATCH(G$5,Revenue_Model_Months,0)),IF($C44="% of Sales",$D44*G$16,IF($C44="Payroll Model",SUMIFS('Payroll Model'!J:J,Payroll_Mappings,'Operating Model'!$A44),IF($C44="Continue Last Month",F44," ")))),IF($A44&gt;0,INDEX(INDIRECT(G$1),MATCH($A44,Profit_and_Loss_Categories,0))," "))</f>
        <v xml:space="preserve"> </v>
      </c>
      <c r="H44" s="73" t="str">
        <f ca="1">IF(AND(H$5&gt;=Forecast_Start_Date,$A44&gt;0),IF($C44="Revenue Model",INDEX(Revenue_Forecast_Array,MATCH(H$5,Revenue_Model_Months,0)),IF($C44="% of Sales",$D44*H$16,IF($C44="Payroll Model",SUMIFS('Payroll Model'!K:K,Payroll_Mappings,'Operating Model'!$A44),IF($C44="Continue Last Month",G44," ")))),IF($A44&gt;0,INDEX(INDIRECT(H$1),MATCH($A44,Profit_and_Loss_Categories,0))," "))</f>
        <v xml:space="preserve"> </v>
      </c>
      <c r="I44" s="68" t="str">
        <f ca="1">IF(AND(I$5&gt;=Forecast_Start_Date,$A44&gt;0),IF($C44="Revenue Model",INDEX(Revenue_Forecast_Array,MATCH(I$5,Revenue_Model_Months,0)),IF($C44="% of Sales",$D44*I$16,IF($C44="Payroll Model",SUMIFS('Payroll Model'!L:L,Payroll_Mappings,'Operating Model'!$A44),IF($C44="Continue Last Month",H44," ")))),IF($A44&gt;0,INDEX(INDIRECT(I$1),MATCH($A44,Profit_and_Loss_Categories,0))," "))</f>
        <v xml:space="preserve"> </v>
      </c>
      <c r="J44" s="68" t="str">
        <f ca="1">IF(AND(J$5&gt;=Forecast_Start_Date,$A44&gt;0),IF($C44="Revenue Model",INDEX(Revenue_Forecast_Array,MATCH(J$5,Revenue_Model_Months,0)),IF($C44="% of Sales",$D44*J$16,IF($C44="Payroll Model",SUMIFS('Payroll Model'!M:M,Payroll_Mappings,'Operating Model'!$A44),IF($C44="Continue Last Month",I44," ")))),IF($A44&gt;0,INDEX(INDIRECT(J$1),MATCH($A44,Profit_and_Loss_Categories,0))," "))</f>
        <v xml:space="preserve"> </v>
      </c>
      <c r="K44" s="68" t="str">
        <f ca="1">IF(AND(K$5&gt;=Forecast_Start_Date,$A44&gt;0),IF($C44="Revenue Model",INDEX(Revenue_Forecast_Array,MATCH(K$5,Revenue_Model_Months,0)),IF($C44="% of Sales",$D44*K$16,IF($C44="Payroll Model",SUMIFS('Payroll Model'!N:N,Payroll_Mappings,'Operating Model'!$A44),IF($C44="Continue Last Month",J44," ")))),IF($A44&gt;0,INDEX(INDIRECT(K$1),MATCH($A44,Profit_and_Loss_Categories,0))," "))</f>
        <v xml:space="preserve"> </v>
      </c>
      <c r="L44" s="68" t="str">
        <f ca="1">IF(AND(L$5&gt;=Forecast_Start_Date,$A44&gt;0),IF($C44="Revenue Model",INDEX(Revenue_Forecast_Array,MATCH(L$5,Revenue_Model_Months,0)),IF($C44="% of Sales",$D44*L$16,IF($C44="Payroll Model",SUMIFS('Payroll Model'!O:O,Payroll_Mappings,'Operating Model'!$A44),IF($C44="Continue Last Month",K44," ")))),IF($A44&gt;0,INDEX(INDIRECT(L$1),MATCH($A44,Profit_and_Loss_Categories,0))," "))</f>
        <v xml:space="preserve"> </v>
      </c>
      <c r="M44" s="68" t="str">
        <f ca="1">IF(AND(M$5&gt;=Forecast_Start_Date,$A44&gt;0),IF($C44="Revenue Model",INDEX(Revenue_Forecast_Array,MATCH(M$5,Revenue_Model_Months,0)),IF($C44="% of Sales",$D44*M$16,IF($C44="Payroll Model",SUMIFS('Payroll Model'!P:P,Payroll_Mappings,'Operating Model'!$A44),IF($C44="Continue Last Month",L44," ")))),IF($A44&gt;0,INDEX(INDIRECT(M$1),MATCH($A44,Profit_and_Loss_Categories,0))," "))</f>
        <v xml:space="preserve"> </v>
      </c>
      <c r="N44" s="68" t="str">
        <f ca="1">IF(AND(N$5&gt;=Forecast_Start_Date,$A44&gt;0),IF($C44="Revenue Model",INDEX(Revenue_Forecast_Array,MATCH(N$5,Revenue_Model_Months,0)),IF($C44="% of Sales",$D44*N$16,IF($C44="Payroll Model",SUMIFS('Payroll Model'!Q:Q,Payroll_Mappings,'Operating Model'!$A44),IF($C44="Continue Last Month",M44," ")))),IF($A44&gt;0,INDEX(INDIRECT(N$1),MATCH($A44,Profit_and_Loss_Categories,0))," "))</f>
        <v xml:space="preserve"> </v>
      </c>
      <c r="O44" s="68" t="str">
        <f ca="1">IF(AND(O$5&gt;=Forecast_Start_Date,$A44&gt;0),IF($C44="Revenue Model",INDEX(Revenue_Forecast_Array,MATCH(O$5,Revenue_Model_Months,0)),IF($C44="% of Sales",$D44*O$16,IF($C44="Payroll Model",SUMIFS('Payroll Model'!R:R,Payroll_Mappings,'Operating Model'!$A44),IF($C44="Continue Last Month",N44," ")))),IF($A44&gt;0,INDEX(INDIRECT(O$1),MATCH($A44,Profit_and_Loss_Categories,0))," "))</f>
        <v xml:space="preserve"> </v>
      </c>
      <c r="P44" s="68" t="str">
        <f ca="1">IF(AND(P$5&gt;=Forecast_Start_Date,$A44&gt;0),IF($C44="Revenue Model",INDEX(Revenue_Forecast_Array,MATCH(P$5,Revenue_Model_Months,0)),IF($C44="% of Sales",$D44*P$16,IF($C44="Payroll Model",SUMIFS('Payroll Model'!S:S,Payroll_Mappings,'Operating Model'!$A44),IF($C44="Continue Last Month",O44," ")))),IF($A44&gt;0,INDEX(INDIRECT(P$1),MATCH($A44,Profit_and_Loss_Categories,0))," "))</f>
        <v xml:space="preserve"> </v>
      </c>
      <c r="Q44" s="68" t="str">
        <f ca="1">IF(AND(Q$5&gt;=Forecast_Start_Date,$A44&gt;0),IF($C44="Revenue Model",INDEX(Revenue_Forecast_Array,MATCH(Q$5,Revenue_Model_Months,0)),IF($C44="% of Sales",$D44*Q$16,IF($C44="Payroll Model",SUMIFS('Payroll Model'!T:T,Payroll_Mappings,'Operating Model'!$A44),IF($C44="Continue Last Month",P44," ")))),IF($A44&gt;0,INDEX(INDIRECT(Q$1),MATCH($A44,Profit_and_Loss_Categories,0))," "))</f>
        <v xml:space="preserve"> </v>
      </c>
    </row>
    <row r="45" spans="1:17" x14ac:dyDescent="0.2">
      <c r="A45" s="118"/>
      <c r="C45" s="66" t="s">
        <v>101</v>
      </c>
      <c r="D45" s="103" t="str">
        <f t="shared" si="6"/>
        <v xml:space="preserve"> </v>
      </c>
      <c r="F45" s="73" t="str">
        <f ca="1">IF(AND(F$5&gt;=Forecast_Start_Date,$A45&gt;0),IF($C45="Revenue Model",INDEX(Revenue_Forecast_Array,MATCH(F$5,Revenue_Model_Months,0)),IF($C45="% of Sales",$D45*F$16,IF($C45="Payroll Model",SUMIFS('Payroll Model'!I:I,Payroll_Mappings,'Operating Model'!$A45),IF($C45="Continue Last Month",E45," ")))),IF($A45&gt;0,INDEX(INDIRECT(F$1),MATCH($A45,Profit_and_Loss_Categories,0))," "))</f>
        <v xml:space="preserve"> </v>
      </c>
      <c r="G45" s="73" t="str">
        <f ca="1">IF(AND(G$5&gt;=Forecast_Start_Date,$A45&gt;0),IF($C45="Revenue Model",INDEX(Revenue_Forecast_Array,MATCH(G$5,Revenue_Model_Months,0)),IF($C45="% of Sales",$D45*G$16,IF($C45="Payroll Model",SUMIFS('Payroll Model'!J:J,Payroll_Mappings,'Operating Model'!$A45),IF($C45="Continue Last Month",F45," ")))),IF($A45&gt;0,INDEX(INDIRECT(G$1),MATCH($A45,Profit_and_Loss_Categories,0))," "))</f>
        <v xml:space="preserve"> </v>
      </c>
      <c r="H45" s="73" t="str">
        <f ca="1">IF(AND(H$5&gt;=Forecast_Start_Date,$A45&gt;0),IF($C45="Revenue Model",INDEX(Revenue_Forecast_Array,MATCH(H$5,Revenue_Model_Months,0)),IF($C45="% of Sales",$D45*H$16,IF($C45="Payroll Model",SUMIFS('Payroll Model'!K:K,Payroll_Mappings,'Operating Model'!$A45),IF($C45="Continue Last Month",G45," ")))),IF($A45&gt;0,INDEX(INDIRECT(H$1),MATCH($A45,Profit_and_Loss_Categories,0))," "))</f>
        <v xml:space="preserve"> </v>
      </c>
      <c r="I45" s="68" t="str">
        <f ca="1">IF(AND(I$5&gt;=Forecast_Start_Date,$A45&gt;0),IF($C45="Revenue Model",INDEX(Revenue_Forecast_Array,MATCH(I$5,Revenue_Model_Months,0)),IF($C45="% of Sales",$D45*I$16,IF($C45="Payroll Model",SUMIFS('Payroll Model'!L:L,Payroll_Mappings,'Operating Model'!$A45),IF($C45="Continue Last Month",H45," ")))),IF($A45&gt;0,INDEX(INDIRECT(I$1),MATCH($A45,Profit_and_Loss_Categories,0))," "))</f>
        <v xml:space="preserve"> </v>
      </c>
      <c r="J45" s="68" t="str">
        <f ca="1">IF(AND(J$5&gt;=Forecast_Start_Date,$A45&gt;0),IF($C45="Revenue Model",INDEX(Revenue_Forecast_Array,MATCH(J$5,Revenue_Model_Months,0)),IF($C45="% of Sales",$D45*J$16,IF($C45="Payroll Model",SUMIFS('Payroll Model'!M:M,Payroll_Mappings,'Operating Model'!$A45),IF($C45="Continue Last Month",I45," ")))),IF($A45&gt;0,INDEX(INDIRECT(J$1),MATCH($A45,Profit_and_Loss_Categories,0))," "))</f>
        <v xml:space="preserve"> </v>
      </c>
      <c r="K45" s="68" t="str">
        <f ca="1">IF(AND(K$5&gt;=Forecast_Start_Date,$A45&gt;0),IF($C45="Revenue Model",INDEX(Revenue_Forecast_Array,MATCH(K$5,Revenue_Model_Months,0)),IF($C45="% of Sales",$D45*K$16,IF($C45="Payroll Model",SUMIFS('Payroll Model'!N:N,Payroll_Mappings,'Operating Model'!$A45),IF($C45="Continue Last Month",J45," ")))),IF($A45&gt;0,INDEX(INDIRECT(K$1),MATCH($A45,Profit_and_Loss_Categories,0))," "))</f>
        <v xml:space="preserve"> </v>
      </c>
      <c r="L45" s="68" t="str">
        <f ca="1">IF(AND(L$5&gt;=Forecast_Start_Date,$A45&gt;0),IF($C45="Revenue Model",INDEX(Revenue_Forecast_Array,MATCH(L$5,Revenue_Model_Months,0)),IF($C45="% of Sales",$D45*L$16,IF($C45="Payroll Model",SUMIFS('Payroll Model'!O:O,Payroll_Mappings,'Operating Model'!$A45),IF($C45="Continue Last Month",K45," ")))),IF($A45&gt;0,INDEX(INDIRECT(L$1),MATCH($A45,Profit_and_Loss_Categories,0))," "))</f>
        <v xml:space="preserve"> </v>
      </c>
      <c r="M45" s="68" t="str">
        <f ca="1">IF(AND(M$5&gt;=Forecast_Start_Date,$A45&gt;0),IF($C45="Revenue Model",INDEX(Revenue_Forecast_Array,MATCH(M$5,Revenue_Model_Months,0)),IF($C45="% of Sales",$D45*M$16,IF($C45="Payroll Model",SUMIFS('Payroll Model'!P:P,Payroll_Mappings,'Operating Model'!$A45),IF($C45="Continue Last Month",L45," ")))),IF($A45&gt;0,INDEX(INDIRECT(M$1),MATCH($A45,Profit_and_Loss_Categories,0))," "))</f>
        <v xml:space="preserve"> </v>
      </c>
      <c r="N45" s="68" t="str">
        <f ca="1">IF(AND(N$5&gt;=Forecast_Start_Date,$A45&gt;0),IF($C45="Revenue Model",INDEX(Revenue_Forecast_Array,MATCH(N$5,Revenue_Model_Months,0)),IF($C45="% of Sales",$D45*N$16,IF($C45="Payroll Model",SUMIFS('Payroll Model'!Q:Q,Payroll_Mappings,'Operating Model'!$A45),IF($C45="Continue Last Month",M45," ")))),IF($A45&gt;0,INDEX(INDIRECT(N$1),MATCH($A45,Profit_and_Loss_Categories,0))," "))</f>
        <v xml:space="preserve"> </v>
      </c>
      <c r="O45" s="68" t="str">
        <f ca="1">IF(AND(O$5&gt;=Forecast_Start_Date,$A45&gt;0),IF($C45="Revenue Model",INDEX(Revenue_Forecast_Array,MATCH(O$5,Revenue_Model_Months,0)),IF($C45="% of Sales",$D45*O$16,IF($C45="Payroll Model",SUMIFS('Payroll Model'!R:R,Payroll_Mappings,'Operating Model'!$A45),IF($C45="Continue Last Month",N45," ")))),IF($A45&gt;0,INDEX(INDIRECT(O$1),MATCH($A45,Profit_and_Loss_Categories,0))," "))</f>
        <v xml:space="preserve"> </v>
      </c>
      <c r="P45" s="68" t="str">
        <f ca="1">IF(AND(P$5&gt;=Forecast_Start_Date,$A45&gt;0),IF($C45="Revenue Model",INDEX(Revenue_Forecast_Array,MATCH(P$5,Revenue_Model_Months,0)),IF($C45="% of Sales",$D45*P$16,IF($C45="Payroll Model",SUMIFS('Payroll Model'!S:S,Payroll_Mappings,'Operating Model'!$A45),IF($C45="Continue Last Month",O45," ")))),IF($A45&gt;0,INDEX(INDIRECT(P$1),MATCH($A45,Profit_and_Loss_Categories,0))," "))</f>
        <v xml:space="preserve"> </v>
      </c>
      <c r="Q45" s="68" t="str">
        <f ca="1">IF(AND(Q$5&gt;=Forecast_Start_Date,$A45&gt;0),IF($C45="Revenue Model",INDEX(Revenue_Forecast_Array,MATCH(Q$5,Revenue_Model_Months,0)),IF($C45="% of Sales",$D45*Q$16,IF($C45="Payroll Model",SUMIFS('Payroll Model'!T:T,Payroll_Mappings,'Operating Model'!$A45),IF($C45="Continue Last Month",P45," ")))),IF($A45&gt;0,INDEX(INDIRECT(Q$1),MATCH($A45,Profit_and_Loss_Categories,0))," "))</f>
        <v xml:space="preserve"> </v>
      </c>
    </row>
    <row r="46" spans="1:17" x14ac:dyDescent="0.2">
      <c r="A46" s="118"/>
      <c r="C46" s="66" t="s">
        <v>101</v>
      </c>
      <c r="D46" s="103" t="str">
        <f t="shared" si="6"/>
        <v xml:space="preserve"> </v>
      </c>
      <c r="F46" s="73" t="str">
        <f ca="1">IF(AND(F$5&gt;=Forecast_Start_Date,$A46&gt;0),IF($C46="Revenue Model",INDEX(Revenue_Forecast_Array,MATCH(F$5,Revenue_Model_Months,0)),IF($C46="% of Sales",$D46*F$16,IF($C46="Payroll Model",SUMIFS('Payroll Model'!I:I,Payroll_Mappings,'Operating Model'!$A46),IF($C46="Continue Last Month",E46," ")))),IF($A46&gt;0,INDEX(INDIRECT(F$1),MATCH($A46,Profit_and_Loss_Categories,0))," "))</f>
        <v xml:space="preserve"> </v>
      </c>
      <c r="G46" s="73" t="str">
        <f ca="1">IF(AND(G$5&gt;=Forecast_Start_Date,$A46&gt;0),IF($C46="Revenue Model",INDEX(Revenue_Forecast_Array,MATCH(G$5,Revenue_Model_Months,0)),IF($C46="% of Sales",$D46*G$16,IF($C46="Payroll Model",SUMIFS('Payroll Model'!J:J,Payroll_Mappings,'Operating Model'!$A46),IF($C46="Continue Last Month",F46," ")))),IF($A46&gt;0,INDEX(INDIRECT(G$1),MATCH($A46,Profit_and_Loss_Categories,0))," "))</f>
        <v xml:space="preserve"> </v>
      </c>
      <c r="H46" s="73" t="str">
        <f ca="1">IF(AND(H$5&gt;=Forecast_Start_Date,$A46&gt;0),IF($C46="Revenue Model",INDEX(Revenue_Forecast_Array,MATCH(H$5,Revenue_Model_Months,0)),IF($C46="% of Sales",$D46*H$16,IF($C46="Payroll Model",SUMIFS('Payroll Model'!K:K,Payroll_Mappings,'Operating Model'!$A46),IF($C46="Continue Last Month",G46," ")))),IF($A46&gt;0,INDEX(INDIRECT(H$1),MATCH($A46,Profit_and_Loss_Categories,0))," "))</f>
        <v xml:space="preserve"> </v>
      </c>
      <c r="I46" s="68" t="str">
        <f ca="1">IF(AND(I$5&gt;=Forecast_Start_Date,$A46&gt;0),IF($C46="Revenue Model",INDEX(Revenue_Forecast_Array,MATCH(I$5,Revenue_Model_Months,0)),IF($C46="% of Sales",$D46*I$16,IF($C46="Payroll Model",SUMIFS('Payroll Model'!L:L,Payroll_Mappings,'Operating Model'!$A46),IF($C46="Continue Last Month",H46," ")))),IF($A46&gt;0,INDEX(INDIRECT(I$1),MATCH($A46,Profit_and_Loss_Categories,0))," "))</f>
        <v xml:space="preserve"> </v>
      </c>
      <c r="J46" s="68" t="str">
        <f ca="1">IF(AND(J$5&gt;=Forecast_Start_Date,$A46&gt;0),IF($C46="Revenue Model",INDEX(Revenue_Forecast_Array,MATCH(J$5,Revenue_Model_Months,0)),IF($C46="% of Sales",$D46*J$16,IF($C46="Payroll Model",SUMIFS('Payroll Model'!M:M,Payroll_Mappings,'Operating Model'!$A46),IF($C46="Continue Last Month",I46," ")))),IF($A46&gt;0,INDEX(INDIRECT(J$1),MATCH($A46,Profit_and_Loss_Categories,0))," "))</f>
        <v xml:space="preserve"> </v>
      </c>
      <c r="K46" s="68" t="str">
        <f ca="1">IF(AND(K$5&gt;=Forecast_Start_Date,$A46&gt;0),IF($C46="Revenue Model",INDEX(Revenue_Forecast_Array,MATCH(K$5,Revenue_Model_Months,0)),IF($C46="% of Sales",$D46*K$16,IF($C46="Payroll Model",SUMIFS('Payroll Model'!N:N,Payroll_Mappings,'Operating Model'!$A46),IF($C46="Continue Last Month",J46," ")))),IF($A46&gt;0,INDEX(INDIRECT(K$1),MATCH($A46,Profit_and_Loss_Categories,0))," "))</f>
        <v xml:space="preserve"> </v>
      </c>
      <c r="L46" s="68" t="str">
        <f ca="1">IF(AND(L$5&gt;=Forecast_Start_Date,$A46&gt;0),IF($C46="Revenue Model",INDEX(Revenue_Forecast_Array,MATCH(L$5,Revenue_Model_Months,0)),IF($C46="% of Sales",$D46*L$16,IF($C46="Payroll Model",SUMIFS('Payroll Model'!O:O,Payroll_Mappings,'Operating Model'!$A46),IF($C46="Continue Last Month",K46," ")))),IF($A46&gt;0,INDEX(INDIRECT(L$1),MATCH($A46,Profit_and_Loss_Categories,0))," "))</f>
        <v xml:space="preserve"> </v>
      </c>
      <c r="M46" s="68" t="str">
        <f ca="1">IF(AND(M$5&gt;=Forecast_Start_Date,$A46&gt;0),IF($C46="Revenue Model",INDEX(Revenue_Forecast_Array,MATCH(M$5,Revenue_Model_Months,0)),IF($C46="% of Sales",$D46*M$16,IF($C46="Payroll Model",SUMIFS('Payroll Model'!P:P,Payroll_Mappings,'Operating Model'!$A46),IF($C46="Continue Last Month",L46," ")))),IF($A46&gt;0,INDEX(INDIRECT(M$1),MATCH($A46,Profit_and_Loss_Categories,0))," "))</f>
        <v xml:space="preserve"> </v>
      </c>
      <c r="N46" s="68" t="str">
        <f ca="1">IF(AND(N$5&gt;=Forecast_Start_Date,$A46&gt;0),IF($C46="Revenue Model",INDEX(Revenue_Forecast_Array,MATCH(N$5,Revenue_Model_Months,0)),IF($C46="% of Sales",$D46*N$16,IF($C46="Payroll Model",SUMIFS('Payroll Model'!Q:Q,Payroll_Mappings,'Operating Model'!$A46),IF($C46="Continue Last Month",M46," ")))),IF($A46&gt;0,INDEX(INDIRECT(N$1),MATCH($A46,Profit_and_Loss_Categories,0))," "))</f>
        <v xml:space="preserve"> </v>
      </c>
      <c r="O46" s="68" t="str">
        <f ca="1">IF(AND(O$5&gt;=Forecast_Start_Date,$A46&gt;0),IF($C46="Revenue Model",INDEX(Revenue_Forecast_Array,MATCH(O$5,Revenue_Model_Months,0)),IF($C46="% of Sales",$D46*O$16,IF($C46="Payroll Model",SUMIFS('Payroll Model'!R:R,Payroll_Mappings,'Operating Model'!$A46),IF($C46="Continue Last Month",N46," ")))),IF($A46&gt;0,INDEX(INDIRECT(O$1),MATCH($A46,Profit_and_Loss_Categories,0))," "))</f>
        <v xml:space="preserve"> </v>
      </c>
      <c r="P46" s="68" t="str">
        <f ca="1">IF(AND(P$5&gt;=Forecast_Start_Date,$A46&gt;0),IF($C46="Revenue Model",INDEX(Revenue_Forecast_Array,MATCH(P$5,Revenue_Model_Months,0)),IF($C46="% of Sales",$D46*P$16,IF($C46="Payroll Model",SUMIFS('Payroll Model'!S:S,Payroll_Mappings,'Operating Model'!$A46),IF($C46="Continue Last Month",O46," ")))),IF($A46&gt;0,INDEX(INDIRECT(P$1),MATCH($A46,Profit_and_Loss_Categories,0))," "))</f>
        <v xml:space="preserve"> </v>
      </c>
      <c r="Q46" s="68" t="str">
        <f ca="1">IF(AND(Q$5&gt;=Forecast_Start_Date,$A46&gt;0),IF($C46="Revenue Model",INDEX(Revenue_Forecast_Array,MATCH(Q$5,Revenue_Model_Months,0)),IF($C46="% of Sales",$D46*Q$16,IF($C46="Payroll Model",SUMIFS('Payroll Model'!T:T,Payroll_Mappings,'Operating Model'!$A46),IF($C46="Continue Last Month",P46," ")))),IF($A46&gt;0,INDEX(INDIRECT(Q$1),MATCH($A46,Profit_and_Loss_Categories,0))," "))</f>
        <v xml:space="preserve"> </v>
      </c>
    </row>
    <row r="47" spans="1:17" x14ac:dyDescent="0.2">
      <c r="A47" s="118"/>
      <c r="C47" s="66" t="s">
        <v>101</v>
      </c>
      <c r="D47" s="103" t="str">
        <f t="shared" si="6"/>
        <v xml:space="preserve"> </v>
      </c>
      <c r="F47" s="73" t="str">
        <f ca="1">IF(AND(F$5&gt;=Forecast_Start_Date,$A47&gt;0),IF($C47="Revenue Model",INDEX(Revenue_Forecast_Array,MATCH(F$5,Revenue_Model_Months,0)),IF($C47="% of Sales",$D47*F$16,IF($C47="Payroll Model",SUMIFS('Payroll Model'!I:I,Payroll_Mappings,'Operating Model'!$A47),IF($C47="Continue Last Month",E47," ")))),IF($A47&gt;0,INDEX(INDIRECT(F$1),MATCH($A47,Profit_and_Loss_Categories,0))," "))</f>
        <v xml:space="preserve"> </v>
      </c>
      <c r="G47" s="73" t="str">
        <f ca="1">IF(AND(G$5&gt;=Forecast_Start_Date,$A47&gt;0),IF($C47="Revenue Model",INDEX(Revenue_Forecast_Array,MATCH(G$5,Revenue_Model_Months,0)),IF($C47="% of Sales",$D47*G$16,IF($C47="Payroll Model",SUMIFS('Payroll Model'!J:J,Payroll_Mappings,'Operating Model'!$A47),IF($C47="Continue Last Month",F47," ")))),IF($A47&gt;0,INDEX(INDIRECT(G$1),MATCH($A47,Profit_and_Loss_Categories,0))," "))</f>
        <v xml:space="preserve"> </v>
      </c>
      <c r="H47" s="73" t="str">
        <f ca="1">IF(AND(H$5&gt;=Forecast_Start_Date,$A47&gt;0),IF($C47="Revenue Model",INDEX(Revenue_Forecast_Array,MATCH(H$5,Revenue_Model_Months,0)),IF($C47="% of Sales",$D47*H$16,IF($C47="Payroll Model",SUMIFS('Payroll Model'!K:K,Payroll_Mappings,'Operating Model'!$A47),IF($C47="Continue Last Month",G47," ")))),IF($A47&gt;0,INDEX(INDIRECT(H$1),MATCH($A47,Profit_and_Loss_Categories,0))," "))</f>
        <v xml:space="preserve"> </v>
      </c>
      <c r="I47" s="68" t="str">
        <f ca="1">IF(AND(I$5&gt;=Forecast_Start_Date,$A47&gt;0),IF($C47="Revenue Model",INDEX(Revenue_Forecast_Array,MATCH(I$5,Revenue_Model_Months,0)),IF($C47="% of Sales",$D47*I$16,IF($C47="Payroll Model",SUMIFS('Payroll Model'!L:L,Payroll_Mappings,'Operating Model'!$A47),IF($C47="Continue Last Month",H47," ")))),IF($A47&gt;0,INDEX(INDIRECT(I$1),MATCH($A47,Profit_and_Loss_Categories,0))," "))</f>
        <v xml:space="preserve"> </v>
      </c>
      <c r="J47" s="68" t="str">
        <f ca="1">IF(AND(J$5&gt;=Forecast_Start_Date,$A47&gt;0),IF($C47="Revenue Model",INDEX(Revenue_Forecast_Array,MATCH(J$5,Revenue_Model_Months,0)),IF($C47="% of Sales",$D47*J$16,IF($C47="Payroll Model",SUMIFS('Payroll Model'!M:M,Payroll_Mappings,'Operating Model'!$A47),IF($C47="Continue Last Month",I47," ")))),IF($A47&gt;0,INDEX(INDIRECT(J$1),MATCH($A47,Profit_and_Loss_Categories,0))," "))</f>
        <v xml:space="preserve"> </v>
      </c>
      <c r="K47" s="68" t="str">
        <f ca="1">IF(AND(K$5&gt;=Forecast_Start_Date,$A47&gt;0),IF($C47="Revenue Model",INDEX(Revenue_Forecast_Array,MATCH(K$5,Revenue_Model_Months,0)),IF($C47="% of Sales",$D47*K$16,IF($C47="Payroll Model",SUMIFS('Payroll Model'!N:N,Payroll_Mappings,'Operating Model'!$A47),IF($C47="Continue Last Month",J47," ")))),IF($A47&gt;0,INDEX(INDIRECT(K$1),MATCH($A47,Profit_and_Loss_Categories,0))," "))</f>
        <v xml:space="preserve"> </v>
      </c>
      <c r="L47" s="68" t="str">
        <f ca="1">IF(AND(L$5&gt;=Forecast_Start_Date,$A47&gt;0),IF($C47="Revenue Model",INDEX(Revenue_Forecast_Array,MATCH(L$5,Revenue_Model_Months,0)),IF($C47="% of Sales",$D47*L$16,IF($C47="Payroll Model",SUMIFS('Payroll Model'!O:O,Payroll_Mappings,'Operating Model'!$A47),IF($C47="Continue Last Month",K47," ")))),IF($A47&gt;0,INDEX(INDIRECT(L$1),MATCH($A47,Profit_and_Loss_Categories,0))," "))</f>
        <v xml:space="preserve"> </v>
      </c>
      <c r="M47" s="68" t="str">
        <f ca="1">IF(AND(M$5&gt;=Forecast_Start_Date,$A47&gt;0),IF($C47="Revenue Model",INDEX(Revenue_Forecast_Array,MATCH(M$5,Revenue_Model_Months,0)),IF($C47="% of Sales",$D47*M$16,IF($C47="Payroll Model",SUMIFS('Payroll Model'!P:P,Payroll_Mappings,'Operating Model'!$A47),IF($C47="Continue Last Month",L47," ")))),IF($A47&gt;0,INDEX(INDIRECT(M$1),MATCH($A47,Profit_and_Loss_Categories,0))," "))</f>
        <v xml:space="preserve"> </v>
      </c>
      <c r="N47" s="68" t="str">
        <f ca="1">IF(AND(N$5&gt;=Forecast_Start_Date,$A47&gt;0),IF($C47="Revenue Model",INDEX(Revenue_Forecast_Array,MATCH(N$5,Revenue_Model_Months,0)),IF($C47="% of Sales",$D47*N$16,IF($C47="Payroll Model",SUMIFS('Payroll Model'!Q:Q,Payroll_Mappings,'Operating Model'!$A47),IF($C47="Continue Last Month",M47," ")))),IF($A47&gt;0,INDEX(INDIRECT(N$1),MATCH($A47,Profit_and_Loss_Categories,0))," "))</f>
        <v xml:space="preserve"> </v>
      </c>
      <c r="O47" s="68" t="str">
        <f ca="1">IF(AND(O$5&gt;=Forecast_Start_Date,$A47&gt;0),IF($C47="Revenue Model",INDEX(Revenue_Forecast_Array,MATCH(O$5,Revenue_Model_Months,0)),IF($C47="% of Sales",$D47*O$16,IF($C47="Payroll Model",SUMIFS('Payroll Model'!R:R,Payroll_Mappings,'Operating Model'!$A47),IF($C47="Continue Last Month",N47," ")))),IF($A47&gt;0,INDEX(INDIRECT(O$1),MATCH($A47,Profit_and_Loss_Categories,0))," "))</f>
        <v xml:space="preserve"> </v>
      </c>
      <c r="P47" s="68" t="str">
        <f ca="1">IF(AND(P$5&gt;=Forecast_Start_Date,$A47&gt;0),IF($C47="Revenue Model",INDEX(Revenue_Forecast_Array,MATCH(P$5,Revenue_Model_Months,0)),IF($C47="% of Sales",$D47*P$16,IF($C47="Payroll Model",SUMIFS('Payroll Model'!S:S,Payroll_Mappings,'Operating Model'!$A47),IF($C47="Continue Last Month",O47," ")))),IF($A47&gt;0,INDEX(INDIRECT(P$1),MATCH($A47,Profit_and_Loss_Categories,0))," "))</f>
        <v xml:space="preserve"> </v>
      </c>
      <c r="Q47" s="68" t="str">
        <f ca="1">IF(AND(Q$5&gt;=Forecast_Start_Date,$A47&gt;0),IF($C47="Revenue Model",INDEX(Revenue_Forecast_Array,MATCH(Q$5,Revenue_Model_Months,0)),IF($C47="% of Sales",$D47*Q$16,IF($C47="Payroll Model",SUMIFS('Payroll Model'!T:T,Payroll_Mappings,'Operating Model'!$A47),IF($C47="Continue Last Month",P47," ")))),IF($A47&gt;0,INDEX(INDIRECT(Q$1),MATCH($A47,Profit_and_Loss_Categories,0))," "))</f>
        <v xml:space="preserve"> </v>
      </c>
    </row>
    <row r="48" spans="1:17" x14ac:dyDescent="0.2">
      <c r="A48" s="119">
        <v>0</v>
      </c>
      <c r="C48" s="66" t="s">
        <v>101</v>
      </c>
      <c r="D48" s="103" t="str">
        <f t="shared" si="6"/>
        <v xml:space="preserve"> </v>
      </c>
      <c r="F48" s="73" t="str">
        <f ca="1">IF(AND(F$5&gt;=Forecast_Start_Date,$A48&gt;0),IF($C48="Revenue Model",INDEX(Revenue_Forecast_Array,MATCH(F$5,Revenue_Model_Months,0)),IF($C48="% of Sales",$D48*F$16,IF($C48="Payroll Model",SUMIFS('Payroll Model'!I:I,Payroll_Mappings,'Operating Model'!$A48),IF($C48="Continue Last Month",E48," ")))),IF($A48&gt;0,INDEX(INDIRECT(F$1),MATCH($A48,Profit_and_Loss_Categories,0))," "))</f>
        <v xml:space="preserve"> </v>
      </c>
      <c r="G48" s="73" t="str">
        <f ca="1">IF(AND(G$5&gt;=Forecast_Start_Date,$A48&gt;0),IF($C48="Revenue Model",INDEX(Revenue_Forecast_Array,MATCH(G$5,Revenue_Model_Months,0)),IF($C48="% of Sales",$D48*G$16,IF($C48="Payroll Model",SUMIFS('Payroll Model'!J:J,Payroll_Mappings,'Operating Model'!$A48),IF($C48="Continue Last Month",F48," ")))),IF($A48&gt;0,INDEX(INDIRECT(G$1),MATCH($A48,Profit_and_Loss_Categories,0))," "))</f>
        <v xml:space="preserve"> </v>
      </c>
      <c r="H48" s="73" t="str">
        <f ca="1">IF(AND(H$5&gt;=Forecast_Start_Date,$A48&gt;0),IF($C48="Revenue Model",INDEX(Revenue_Forecast_Array,MATCH(H$5,Revenue_Model_Months,0)),IF($C48="% of Sales",$D48*H$16,IF($C48="Payroll Model",SUMIFS('Payroll Model'!K:K,Payroll_Mappings,'Operating Model'!$A48),IF($C48="Continue Last Month",G48," ")))),IF($A48&gt;0,INDEX(INDIRECT(H$1),MATCH($A48,Profit_and_Loss_Categories,0))," "))</f>
        <v xml:space="preserve"> </v>
      </c>
      <c r="I48" s="68" t="str">
        <f ca="1">IF(AND(I$5&gt;=Forecast_Start_Date,$A48&gt;0),IF($C48="Revenue Model",INDEX(Revenue_Forecast_Array,MATCH(I$5,Revenue_Model_Months,0)),IF($C48="% of Sales",$D48*I$16,IF($C48="Payroll Model",SUMIFS('Payroll Model'!L:L,Payroll_Mappings,'Operating Model'!$A48),IF($C48="Continue Last Month",H48," ")))),IF($A48&gt;0,INDEX(INDIRECT(I$1),MATCH($A48,Profit_and_Loss_Categories,0))," "))</f>
        <v xml:space="preserve"> </v>
      </c>
      <c r="J48" s="68" t="str">
        <f ca="1">IF(AND(J$5&gt;=Forecast_Start_Date,$A48&gt;0),IF($C48="Revenue Model",INDEX(Revenue_Forecast_Array,MATCH(J$5,Revenue_Model_Months,0)),IF($C48="% of Sales",$D48*J$16,IF($C48="Payroll Model",SUMIFS('Payroll Model'!M:M,Payroll_Mappings,'Operating Model'!$A48),IF($C48="Continue Last Month",I48," ")))),IF($A48&gt;0,INDEX(INDIRECT(J$1),MATCH($A48,Profit_and_Loss_Categories,0))," "))</f>
        <v xml:space="preserve"> </v>
      </c>
      <c r="K48" s="68" t="str">
        <f ca="1">IF(AND(K$5&gt;=Forecast_Start_Date,$A48&gt;0),IF($C48="Revenue Model",INDEX(Revenue_Forecast_Array,MATCH(K$5,Revenue_Model_Months,0)),IF($C48="% of Sales",$D48*K$16,IF($C48="Payroll Model",SUMIFS('Payroll Model'!N:N,Payroll_Mappings,'Operating Model'!$A48),IF($C48="Continue Last Month",J48," ")))),IF($A48&gt;0,INDEX(INDIRECT(K$1),MATCH($A48,Profit_and_Loss_Categories,0))," "))</f>
        <v xml:space="preserve"> </v>
      </c>
      <c r="L48" s="68" t="str">
        <f ca="1">IF(AND(L$5&gt;=Forecast_Start_Date,$A48&gt;0),IF($C48="Revenue Model",INDEX(Revenue_Forecast_Array,MATCH(L$5,Revenue_Model_Months,0)),IF($C48="% of Sales",$D48*L$16,IF($C48="Payroll Model",SUMIFS('Payroll Model'!O:O,Payroll_Mappings,'Operating Model'!$A48),IF($C48="Continue Last Month",K48," ")))),IF($A48&gt;0,INDEX(INDIRECT(L$1),MATCH($A48,Profit_and_Loss_Categories,0))," "))</f>
        <v xml:space="preserve"> </v>
      </c>
      <c r="M48" s="68" t="str">
        <f ca="1">IF(AND(M$5&gt;=Forecast_Start_Date,$A48&gt;0),IF($C48="Revenue Model",INDEX(Revenue_Forecast_Array,MATCH(M$5,Revenue_Model_Months,0)),IF($C48="% of Sales",$D48*M$16,IF($C48="Payroll Model",SUMIFS('Payroll Model'!P:P,Payroll_Mappings,'Operating Model'!$A48),IF($C48="Continue Last Month",L48," ")))),IF($A48&gt;0,INDEX(INDIRECT(M$1),MATCH($A48,Profit_and_Loss_Categories,0))," "))</f>
        <v xml:space="preserve"> </v>
      </c>
      <c r="N48" s="68" t="str">
        <f ca="1">IF(AND(N$5&gt;=Forecast_Start_Date,$A48&gt;0),IF($C48="Revenue Model",INDEX(Revenue_Forecast_Array,MATCH(N$5,Revenue_Model_Months,0)),IF($C48="% of Sales",$D48*N$16,IF($C48="Payroll Model",SUMIFS('Payroll Model'!Q:Q,Payroll_Mappings,'Operating Model'!$A48),IF($C48="Continue Last Month",M48," ")))),IF($A48&gt;0,INDEX(INDIRECT(N$1),MATCH($A48,Profit_and_Loss_Categories,0))," "))</f>
        <v xml:space="preserve"> </v>
      </c>
      <c r="O48" s="68" t="str">
        <f ca="1">IF(AND(O$5&gt;=Forecast_Start_Date,$A48&gt;0),IF($C48="Revenue Model",INDEX(Revenue_Forecast_Array,MATCH(O$5,Revenue_Model_Months,0)),IF($C48="% of Sales",$D48*O$16,IF($C48="Payroll Model",SUMIFS('Payroll Model'!R:R,Payroll_Mappings,'Operating Model'!$A48),IF($C48="Continue Last Month",N48," ")))),IF($A48&gt;0,INDEX(INDIRECT(O$1),MATCH($A48,Profit_and_Loss_Categories,0))," "))</f>
        <v xml:space="preserve"> </v>
      </c>
      <c r="P48" s="68" t="str">
        <f ca="1">IF(AND(P$5&gt;=Forecast_Start_Date,$A48&gt;0),IF($C48="Revenue Model",INDEX(Revenue_Forecast_Array,MATCH(P$5,Revenue_Model_Months,0)),IF($C48="% of Sales",$D48*P$16,IF($C48="Payroll Model",SUMIFS('Payroll Model'!S:S,Payroll_Mappings,'Operating Model'!$A48),IF($C48="Continue Last Month",O48," ")))),IF($A48&gt;0,INDEX(INDIRECT(P$1),MATCH($A48,Profit_and_Loss_Categories,0))," "))</f>
        <v xml:space="preserve"> </v>
      </c>
      <c r="Q48" s="68" t="str">
        <f ca="1">IF(AND(Q$5&gt;=Forecast_Start_Date,$A48&gt;0),IF($C48="Revenue Model",INDEX(Revenue_Forecast_Array,MATCH(Q$5,Revenue_Model_Months,0)),IF($C48="% of Sales",$D48*Q$16,IF($C48="Payroll Model",SUMIFS('Payroll Model'!T:T,Payroll_Mappings,'Operating Model'!$A48),IF($C48="Continue Last Month",P48," ")))),IF($A48&gt;0,INDEX(INDIRECT(Q$1),MATCH($A48,Profit_and_Loss_Categories,0))," "))</f>
        <v xml:space="preserve"> </v>
      </c>
    </row>
    <row r="49" spans="1:17" x14ac:dyDescent="0.2">
      <c r="A49" s="116"/>
      <c r="C49" s="66" t="s">
        <v>101</v>
      </c>
      <c r="D49" s="103" t="str">
        <f t="shared" si="6"/>
        <v xml:space="preserve"> </v>
      </c>
      <c r="F49" s="73" t="str">
        <f ca="1">IF(AND(F$5&gt;=Forecast_Start_Date,$A49&gt;0),IF($C49="Revenue Model",INDEX(Revenue_Forecast_Array,MATCH(F$5,Revenue_Model_Months,0)),IF($C49="% of Sales",$D49*F$16,IF($C49="Payroll Model",SUMIFS('Payroll Model'!I:I,Payroll_Mappings,'Operating Model'!$A49),IF($C49="Continue Last Month",E49," ")))),IF($A49&gt;0,INDEX(INDIRECT(F$1),MATCH($A49,Profit_and_Loss_Categories,0))," "))</f>
        <v xml:space="preserve"> </v>
      </c>
      <c r="G49" s="73" t="str">
        <f ca="1">IF(AND(G$5&gt;=Forecast_Start_Date,$A49&gt;0),IF($C49="Revenue Model",INDEX(Revenue_Forecast_Array,MATCH(G$5,Revenue_Model_Months,0)),IF($C49="% of Sales",$D49*G$16,IF($C49="Payroll Model",SUMIFS('Payroll Model'!J:J,Payroll_Mappings,'Operating Model'!$A49),IF($C49="Continue Last Month",F49," ")))),IF($A49&gt;0,INDEX(INDIRECT(G$1),MATCH($A49,Profit_and_Loss_Categories,0))," "))</f>
        <v xml:space="preserve"> </v>
      </c>
      <c r="H49" s="73" t="str">
        <f ca="1">IF(AND(H$5&gt;=Forecast_Start_Date,$A49&gt;0),IF($C49="Revenue Model",INDEX(Revenue_Forecast_Array,MATCH(H$5,Revenue_Model_Months,0)),IF($C49="% of Sales",$D49*H$16,IF($C49="Payroll Model",SUMIFS('Payroll Model'!K:K,Payroll_Mappings,'Operating Model'!$A49),IF($C49="Continue Last Month",G49," ")))),IF($A49&gt;0,INDEX(INDIRECT(H$1),MATCH($A49,Profit_and_Loss_Categories,0))," "))</f>
        <v xml:space="preserve"> </v>
      </c>
      <c r="I49" s="68" t="str">
        <f ca="1">IF(AND(I$5&gt;=Forecast_Start_Date,$A49&gt;0),IF($C49="Revenue Model",INDEX(Revenue_Forecast_Array,MATCH(I$5,Revenue_Model_Months,0)),IF($C49="% of Sales",$D49*I$16,IF($C49="Payroll Model",SUMIFS('Payroll Model'!L:L,Payroll_Mappings,'Operating Model'!$A49),IF($C49="Continue Last Month",H49," ")))),IF($A49&gt;0,INDEX(INDIRECT(I$1),MATCH($A49,Profit_and_Loss_Categories,0))," "))</f>
        <v xml:space="preserve"> </v>
      </c>
      <c r="J49" s="68" t="str">
        <f ca="1">IF(AND(J$5&gt;=Forecast_Start_Date,$A49&gt;0),IF($C49="Revenue Model",INDEX(Revenue_Forecast_Array,MATCH(J$5,Revenue_Model_Months,0)),IF($C49="% of Sales",$D49*J$16,IF($C49="Payroll Model",SUMIFS('Payroll Model'!M:M,Payroll_Mappings,'Operating Model'!$A49),IF($C49="Continue Last Month",I49," ")))),IF($A49&gt;0,INDEX(INDIRECT(J$1),MATCH($A49,Profit_and_Loss_Categories,0))," "))</f>
        <v xml:space="preserve"> </v>
      </c>
      <c r="K49" s="68" t="str">
        <f ca="1">IF(AND(K$5&gt;=Forecast_Start_Date,$A49&gt;0),IF($C49="Revenue Model",INDEX(Revenue_Forecast_Array,MATCH(K$5,Revenue_Model_Months,0)),IF($C49="% of Sales",$D49*K$16,IF($C49="Payroll Model",SUMIFS('Payroll Model'!N:N,Payroll_Mappings,'Operating Model'!$A49),IF($C49="Continue Last Month",J49," ")))),IF($A49&gt;0,INDEX(INDIRECT(K$1),MATCH($A49,Profit_and_Loss_Categories,0))," "))</f>
        <v xml:space="preserve"> </v>
      </c>
      <c r="L49" s="68" t="str">
        <f ca="1">IF(AND(L$5&gt;=Forecast_Start_Date,$A49&gt;0),IF($C49="Revenue Model",INDEX(Revenue_Forecast_Array,MATCH(L$5,Revenue_Model_Months,0)),IF($C49="% of Sales",$D49*L$16,IF($C49="Payroll Model",SUMIFS('Payroll Model'!O:O,Payroll_Mappings,'Operating Model'!$A49),IF($C49="Continue Last Month",K49," ")))),IF($A49&gt;0,INDEX(INDIRECT(L$1),MATCH($A49,Profit_and_Loss_Categories,0))," "))</f>
        <v xml:space="preserve"> </v>
      </c>
      <c r="M49" s="68" t="str">
        <f ca="1">IF(AND(M$5&gt;=Forecast_Start_Date,$A49&gt;0),IF($C49="Revenue Model",INDEX(Revenue_Forecast_Array,MATCH(M$5,Revenue_Model_Months,0)),IF($C49="% of Sales",$D49*M$16,IF($C49="Payroll Model",SUMIFS('Payroll Model'!P:P,Payroll_Mappings,'Operating Model'!$A49),IF($C49="Continue Last Month",L49," ")))),IF($A49&gt;0,INDEX(INDIRECT(M$1),MATCH($A49,Profit_and_Loss_Categories,0))," "))</f>
        <v xml:space="preserve"> </v>
      </c>
      <c r="N49" s="68" t="str">
        <f ca="1">IF(AND(N$5&gt;=Forecast_Start_Date,$A49&gt;0),IF($C49="Revenue Model",INDEX(Revenue_Forecast_Array,MATCH(N$5,Revenue_Model_Months,0)),IF($C49="% of Sales",$D49*N$16,IF($C49="Payroll Model",SUMIFS('Payroll Model'!Q:Q,Payroll_Mappings,'Operating Model'!$A49),IF($C49="Continue Last Month",M49," ")))),IF($A49&gt;0,INDEX(INDIRECT(N$1),MATCH($A49,Profit_and_Loss_Categories,0))," "))</f>
        <v xml:space="preserve"> </v>
      </c>
      <c r="O49" s="68" t="str">
        <f ca="1">IF(AND(O$5&gt;=Forecast_Start_Date,$A49&gt;0),IF($C49="Revenue Model",INDEX(Revenue_Forecast_Array,MATCH(O$5,Revenue_Model_Months,0)),IF($C49="% of Sales",$D49*O$16,IF($C49="Payroll Model",SUMIFS('Payroll Model'!R:R,Payroll_Mappings,'Operating Model'!$A49),IF($C49="Continue Last Month",N49," ")))),IF($A49&gt;0,INDEX(INDIRECT(O$1),MATCH($A49,Profit_and_Loss_Categories,0))," "))</f>
        <v xml:space="preserve"> </v>
      </c>
      <c r="P49" s="68" t="str">
        <f ca="1">IF(AND(P$5&gt;=Forecast_Start_Date,$A49&gt;0),IF($C49="Revenue Model",INDEX(Revenue_Forecast_Array,MATCH(P$5,Revenue_Model_Months,0)),IF($C49="% of Sales",$D49*P$16,IF($C49="Payroll Model",SUMIFS('Payroll Model'!S:S,Payroll_Mappings,'Operating Model'!$A49),IF($C49="Continue Last Month",O49," ")))),IF($A49&gt;0,INDEX(INDIRECT(P$1),MATCH($A49,Profit_and_Loss_Categories,0))," "))</f>
        <v xml:space="preserve"> </v>
      </c>
      <c r="Q49" s="68" t="str">
        <f ca="1">IF(AND(Q$5&gt;=Forecast_Start_Date,$A49&gt;0),IF($C49="Revenue Model",INDEX(Revenue_Forecast_Array,MATCH(Q$5,Revenue_Model_Months,0)),IF($C49="% of Sales",$D49*Q$16,IF($C49="Payroll Model",SUMIFS('Payroll Model'!T:T,Payroll_Mappings,'Operating Model'!$A49),IF($C49="Continue Last Month",P49," ")))),IF($A49&gt;0,INDEX(INDIRECT(Q$1),MATCH($A49,Profit_and_Loss_Categories,0))," "))</f>
        <v xml:space="preserve"> </v>
      </c>
    </row>
    <row r="50" spans="1:17" x14ac:dyDescent="0.2">
      <c r="A50" s="118"/>
      <c r="C50" s="66" t="s">
        <v>101</v>
      </c>
      <c r="D50" s="103" t="str">
        <f t="shared" si="6"/>
        <v xml:space="preserve"> </v>
      </c>
      <c r="F50" s="73" t="str">
        <f ca="1">IF(AND(F$5&gt;=Forecast_Start_Date,$A50&gt;0),IF($C50="Revenue Model",INDEX(Revenue_Forecast_Array,MATCH(F$5,Revenue_Model_Months,0)),IF($C50="% of Sales",$D50*F$16,IF($C50="Payroll Model",SUMIFS('Payroll Model'!I:I,Payroll_Mappings,'Operating Model'!$A50),IF($C50="Continue Last Month",E50," ")))),IF($A50&gt;0,INDEX(INDIRECT(F$1),MATCH($A50,Profit_and_Loss_Categories,0))," "))</f>
        <v xml:space="preserve"> </v>
      </c>
      <c r="G50" s="73" t="str">
        <f ca="1">IF(AND(G$5&gt;=Forecast_Start_Date,$A50&gt;0),IF($C50="Revenue Model",INDEX(Revenue_Forecast_Array,MATCH(G$5,Revenue_Model_Months,0)),IF($C50="% of Sales",$D50*G$16,IF($C50="Payroll Model",SUMIFS('Payroll Model'!J:J,Payroll_Mappings,'Operating Model'!$A50),IF($C50="Continue Last Month",F50," ")))),IF($A50&gt;0,INDEX(INDIRECT(G$1),MATCH($A50,Profit_and_Loss_Categories,0))," "))</f>
        <v xml:space="preserve"> </v>
      </c>
      <c r="H50" s="73" t="str">
        <f ca="1">IF(AND(H$5&gt;=Forecast_Start_Date,$A50&gt;0),IF($C50="Revenue Model",INDEX(Revenue_Forecast_Array,MATCH(H$5,Revenue_Model_Months,0)),IF($C50="% of Sales",$D50*H$16,IF($C50="Payroll Model",SUMIFS('Payroll Model'!K:K,Payroll_Mappings,'Operating Model'!$A50),IF($C50="Continue Last Month",G50," ")))),IF($A50&gt;0,INDEX(INDIRECT(H$1),MATCH($A50,Profit_and_Loss_Categories,0))," "))</f>
        <v xml:space="preserve"> </v>
      </c>
      <c r="I50" s="68" t="str">
        <f ca="1">IF(AND(I$5&gt;=Forecast_Start_Date,$A50&gt;0),IF($C50="Revenue Model",INDEX(Revenue_Forecast_Array,MATCH(I$5,Revenue_Model_Months,0)),IF($C50="% of Sales",$D50*I$16,IF($C50="Payroll Model",SUMIFS('Payroll Model'!L:L,Payroll_Mappings,'Operating Model'!$A50),IF($C50="Continue Last Month",H50," ")))),IF($A50&gt;0,INDEX(INDIRECT(I$1),MATCH($A50,Profit_and_Loss_Categories,0))," "))</f>
        <v xml:space="preserve"> </v>
      </c>
      <c r="J50" s="68" t="str">
        <f ca="1">IF(AND(J$5&gt;=Forecast_Start_Date,$A50&gt;0),IF($C50="Revenue Model",INDEX(Revenue_Forecast_Array,MATCH(J$5,Revenue_Model_Months,0)),IF($C50="% of Sales",$D50*J$16,IF($C50="Payroll Model",SUMIFS('Payroll Model'!M:M,Payroll_Mappings,'Operating Model'!$A50),IF($C50="Continue Last Month",I50," ")))),IF($A50&gt;0,INDEX(INDIRECT(J$1),MATCH($A50,Profit_and_Loss_Categories,0))," "))</f>
        <v xml:space="preserve"> </v>
      </c>
      <c r="K50" s="68" t="str">
        <f ca="1">IF(AND(K$5&gt;=Forecast_Start_Date,$A50&gt;0),IF($C50="Revenue Model",INDEX(Revenue_Forecast_Array,MATCH(K$5,Revenue_Model_Months,0)),IF($C50="% of Sales",$D50*K$16,IF($C50="Payroll Model",SUMIFS('Payroll Model'!N:N,Payroll_Mappings,'Operating Model'!$A50),IF($C50="Continue Last Month",J50," ")))),IF($A50&gt;0,INDEX(INDIRECT(K$1),MATCH($A50,Profit_and_Loss_Categories,0))," "))</f>
        <v xml:space="preserve"> </v>
      </c>
      <c r="L50" s="68" t="str">
        <f ca="1">IF(AND(L$5&gt;=Forecast_Start_Date,$A50&gt;0),IF($C50="Revenue Model",INDEX(Revenue_Forecast_Array,MATCH(L$5,Revenue_Model_Months,0)),IF($C50="% of Sales",$D50*L$16,IF($C50="Payroll Model",SUMIFS('Payroll Model'!O:O,Payroll_Mappings,'Operating Model'!$A50),IF($C50="Continue Last Month",K50," ")))),IF($A50&gt;0,INDEX(INDIRECT(L$1),MATCH($A50,Profit_and_Loss_Categories,0))," "))</f>
        <v xml:space="preserve"> </v>
      </c>
      <c r="M50" s="68" t="str">
        <f ca="1">IF(AND(M$5&gt;=Forecast_Start_Date,$A50&gt;0),IF($C50="Revenue Model",INDEX(Revenue_Forecast_Array,MATCH(M$5,Revenue_Model_Months,0)),IF($C50="% of Sales",$D50*M$16,IF($C50="Payroll Model",SUMIFS('Payroll Model'!P:P,Payroll_Mappings,'Operating Model'!$A50),IF($C50="Continue Last Month",L50," ")))),IF($A50&gt;0,INDEX(INDIRECT(M$1),MATCH($A50,Profit_and_Loss_Categories,0))," "))</f>
        <v xml:space="preserve"> </v>
      </c>
      <c r="N50" s="68" t="str">
        <f ca="1">IF(AND(N$5&gt;=Forecast_Start_Date,$A50&gt;0),IF($C50="Revenue Model",INDEX(Revenue_Forecast_Array,MATCH(N$5,Revenue_Model_Months,0)),IF($C50="% of Sales",$D50*N$16,IF($C50="Payroll Model",SUMIFS('Payroll Model'!Q:Q,Payroll_Mappings,'Operating Model'!$A50),IF($C50="Continue Last Month",M50," ")))),IF($A50&gt;0,INDEX(INDIRECT(N$1),MATCH($A50,Profit_and_Loss_Categories,0))," "))</f>
        <v xml:space="preserve"> </v>
      </c>
      <c r="O50" s="68" t="str">
        <f ca="1">IF(AND(O$5&gt;=Forecast_Start_Date,$A50&gt;0),IF($C50="Revenue Model",INDEX(Revenue_Forecast_Array,MATCH(O$5,Revenue_Model_Months,0)),IF($C50="% of Sales",$D50*O$16,IF($C50="Payroll Model",SUMIFS('Payroll Model'!R:R,Payroll_Mappings,'Operating Model'!$A50),IF($C50="Continue Last Month",N50," ")))),IF($A50&gt;0,INDEX(INDIRECT(O$1),MATCH($A50,Profit_and_Loss_Categories,0))," "))</f>
        <v xml:space="preserve"> </v>
      </c>
      <c r="P50" s="68" t="str">
        <f ca="1">IF(AND(P$5&gt;=Forecast_Start_Date,$A50&gt;0),IF($C50="Revenue Model",INDEX(Revenue_Forecast_Array,MATCH(P$5,Revenue_Model_Months,0)),IF($C50="% of Sales",$D50*P$16,IF($C50="Payroll Model",SUMIFS('Payroll Model'!S:S,Payroll_Mappings,'Operating Model'!$A50),IF($C50="Continue Last Month",O50," ")))),IF($A50&gt;0,INDEX(INDIRECT(P$1),MATCH($A50,Profit_and_Loss_Categories,0))," "))</f>
        <v xml:space="preserve"> </v>
      </c>
      <c r="Q50" s="68" t="str">
        <f ca="1">IF(AND(Q$5&gt;=Forecast_Start_Date,$A50&gt;0),IF($C50="Revenue Model",INDEX(Revenue_Forecast_Array,MATCH(Q$5,Revenue_Model_Months,0)),IF($C50="% of Sales",$D50*Q$16,IF($C50="Payroll Model",SUMIFS('Payroll Model'!T:T,Payroll_Mappings,'Operating Model'!$A50),IF($C50="Continue Last Month",P50," ")))),IF($A50&gt;0,INDEX(INDIRECT(Q$1),MATCH($A50,Profit_and_Loss_Categories,0))," "))</f>
        <v xml:space="preserve"> </v>
      </c>
    </row>
    <row r="51" spans="1:17" x14ac:dyDescent="0.2">
      <c r="A51" s="116"/>
      <c r="C51" s="66" t="s">
        <v>101</v>
      </c>
      <c r="D51" s="103" t="str">
        <f t="shared" si="6"/>
        <v xml:space="preserve"> </v>
      </c>
      <c r="F51" s="73" t="str">
        <f ca="1">IF(AND(F$5&gt;=Forecast_Start_Date,$A51&gt;0),IF($C51="Revenue Model",INDEX(Revenue_Forecast_Array,MATCH(F$5,Revenue_Model_Months,0)),IF($C51="% of Sales",$D51*F$16,IF($C51="Payroll Model",SUMIFS('Payroll Model'!I:I,Payroll_Mappings,'Operating Model'!$A51),IF($C51="Continue Last Month",E51," ")))),IF($A51&gt;0,INDEX(INDIRECT(F$1),MATCH($A51,Profit_and_Loss_Categories,0))," "))</f>
        <v xml:space="preserve"> </v>
      </c>
      <c r="G51" s="73" t="str">
        <f ca="1">IF(AND(G$5&gt;=Forecast_Start_Date,$A51&gt;0),IF($C51="Revenue Model",INDEX(Revenue_Forecast_Array,MATCH(G$5,Revenue_Model_Months,0)),IF($C51="% of Sales",$D51*G$16,IF($C51="Payroll Model",SUMIFS('Payroll Model'!J:J,Payroll_Mappings,'Operating Model'!$A51),IF($C51="Continue Last Month",F51," ")))),IF($A51&gt;0,INDEX(INDIRECT(G$1),MATCH($A51,Profit_and_Loss_Categories,0))," "))</f>
        <v xml:space="preserve"> </v>
      </c>
      <c r="H51" s="73" t="str">
        <f ca="1">IF(AND(H$5&gt;=Forecast_Start_Date,$A51&gt;0),IF($C51="Revenue Model",INDEX(Revenue_Forecast_Array,MATCH(H$5,Revenue_Model_Months,0)),IF($C51="% of Sales",$D51*H$16,IF($C51="Payroll Model",SUMIFS('Payroll Model'!K:K,Payroll_Mappings,'Operating Model'!$A51),IF($C51="Continue Last Month",G51," ")))),IF($A51&gt;0,INDEX(INDIRECT(H$1),MATCH($A51,Profit_and_Loss_Categories,0))," "))</f>
        <v xml:space="preserve"> </v>
      </c>
      <c r="I51" s="68" t="str">
        <f ca="1">IF(AND(I$5&gt;=Forecast_Start_Date,$A51&gt;0),IF($C51="Revenue Model",INDEX(Revenue_Forecast_Array,MATCH(I$5,Revenue_Model_Months,0)),IF($C51="% of Sales",$D51*I$16,IF($C51="Payroll Model",SUMIFS('Payroll Model'!L:L,Payroll_Mappings,'Operating Model'!$A51),IF($C51="Continue Last Month",H51," ")))),IF($A51&gt;0,INDEX(INDIRECT(I$1),MATCH($A51,Profit_and_Loss_Categories,0))," "))</f>
        <v xml:space="preserve"> </v>
      </c>
      <c r="J51" s="68" t="str">
        <f ca="1">IF(AND(J$5&gt;=Forecast_Start_Date,$A51&gt;0),IF($C51="Revenue Model",INDEX(Revenue_Forecast_Array,MATCH(J$5,Revenue_Model_Months,0)),IF($C51="% of Sales",$D51*J$16,IF($C51="Payroll Model",SUMIFS('Payroll Model'!M:M,Payroll_Mappings,'Operating Model'!$A51),IF($C51="Continue Last Month",I51," ")))),IF($A51&gt;0,INDEX(INDIRECT(J$1),MATCH($A51,Profit_and_Loss_Categories,0))," "))</f>
        <v xml:space="preserve"> </v>
      </c>
      <c r="K51" s="68" t="str">
        <f ca="1">IF(AND(K$5&gt;=Forecast_Start_Date,$A51&gt;0),IF($C51="Revenue Model",INDEX(Revenue_Forecast_Array,MATCH(K$5,Revenue_Model_Months,0)),IF($C51="% of Sales",$D51*K$16,IF($C51="Payroll Model",SUMIFS('Payroll Model'!N:N,Payroll_Mappings,'Operating Model'!$A51),IF($C51="Continue Last Month",J51," ")))),IF($A51&gt;0,INDEX(INDIRECT(K$1),MATCH($A51,Profit_and_Loss_Categories,0))," "))</f>
        <v xml:space="preserve"> </v>
      </c>
      <c r="L51" s="68" t="str">
        <f ca="1">IF(AND(L$5&gt;=Forecast_Start_Date,$A51&gt;0),IF($C51="Revenue Model",INDEX(Revenue_Forecast_Array,MATCH(L$5,Revenue_Model_Months,0)),IF($C51="% of Sales",$D51*L$16,IF($C51="Payroll Model",SUMIFS('Payroll Model'!O:O,Payroll_Mappings,'Operating Model'!$A51),IF($C51="Continue Last Month",K51," ")))),IF($A51&gt;0,INDEX(INDIRECT(L$1),MATCH($A51,Profit_and_Loss_Categories,0))," "))</f>
        <v xml:space="preserve"> </v>
      </c>
      <c r="M51" s="68" t="str">
        <f ca="1">IF(AND(M$5&gt;=Forecast_Start_Date,$A51&gt;0),IF($C51="Revenue Model",INDEX(Revenue_Forecast_Array,MATCH(M$5,Revenue_Model_Months,0)),IF($C51="% of Sales",$D51*M$16,IF($C51="Payroll Model",SUMIFS('Payroll Model'!P:P,Payroll_Mappings,'Operating Model'!$A51),IF($C51="Continue Last Month",L51," ")))),IF($A51&gt;0,INDEX(INDIRECT(M$1),MATCH($A51,Profit_and_Loss_Categories,0))," "))</f>
        <v xml:space="preserve"> </v>
      </c>
      <c r="N51" s="68" t="str">
        <f ca="1">IF(AND(N$5&gt;=Forecast_Start_Date,$A51&gt;0),IF($C51="Revenue Model",INDEX(Revenue_Forecast_Array,MATCH(N$5,Revenue_Model_Months,0)),IF($C51="% of Sales",$D51*N$16,IF($C51="Payroll Model",SUMIFS('Payroll Model'!Q:Q,Payroll_Mappings,'Operating Model'!$A51),IF($C51="Continue Last Month",M51," ")))),IF($A51&gt;0,INDEX(INDIRECT(N$1),MATCH($A51,Profit_and_Loss_Categories,0))," "))</f>
        <v xml:space="preserve"> </v>
      </c>
      <c r="O51" s="68" t="str">
        <f ca="1">IF(AND(O$5&gt;=Forecast_Start_Date,$A51&gt;0),IF($C51="Revenue Model",INDEX(Revenue_Forecast_Array,MATCH(O$5,Revenue_Model_Months,0)),IF($C51="% of Sales",$D51*O$16,IF($C51="Payroll Model",SUMIFS('Payroll Model'!R:R,Payroll_Mappings,'Operating Model'!$A51),IF($C51="Continue Last Month",N51," ")))),IF($A51&gt;0,INDEX(INDIRECT(O$1),MATCH($A51,Profit_and_Loss_Categories,0))," "))</f>
        <v xml:space="preserve"> </v>
      </c>
      <c r="P51" s="68" t="str">
        <f ca="1">IF(AND(P$5&gt;=Forecast_Start_Date,$A51&gt;0),IF($C51="Revenue Model",INDEX(Revenue_Forecast_Array,MATCH(P$5,Revenue_Model_Months,0)),IF($C51="% of Sales",$D51*P$16,IF($C51="Payroll Model",SUMIFS('Payroll Model'!S:S,Payroll_Mappings,'Operating Model'!$A51),IF($C51="Continue Last Month",O51," ")))),IF($A51&gt;0,INDEX(INDIRECT(P$1),MATCH($A51,Profit_and_Loss_Categories,0))," "))</f>
        <v xml:space="preserve"> </v>
      </c>
      <c r="Q51" s="68" t="str">
        <f ca="1">IF(AND(Q$5&gt;=Forecast_Start_Date,$A51&gt;0),IF($C51="Revenue Model",INDEX(Revenue_Forecast_Array,MATCH(Q$5,Revenue_Model_Months,0)),IF($C51="% of Sales",$D51*Q$16,IF($C51="Payroll Model",SUMIFS('Payroll Model'!T:T,Payroll_Mappings,'Operating Model'!$A51),IF($C51="Continue Last Month",P51," ")))),IF($A51&gt;0,INDEX(INDIRECT(Q$1),MATCH($A51,Profit_and_Loss_Categories,0))," "))</f>
        <v xml:space="preserve"> </v>
      </c>
    </row>
    <row r="52" spans="1:17" x14ac:dyDescent="0.2">
      <c r="A52" s="118"/>
      <c r="C52" s="66" t="s">
        <v>101</v>
      </c>
      <c r="D52" s="103" t="str">
        <f t="shared" si="6"/>
        <v xml:space="preserve"> </v>
      </c>
      <c r="F52" s="73" t="str">
        <f ca="1">IF(AND(F$5&gt;=Forecast_Start_Date,$A52&gt;0),IF($C52="Revenue Model",INDEX(Revenue_Forecast_Array,MATCH(F$5,Revenue_Model_Months,0)),IF($C52="% of Sales",$D52*F$16,IF($C52="Payroll Model",SUMIFS('Payroll Model'!I:I,Payroll_Mappings,'Operating Model'!$A52),IF($C52="Continue Last Month",E52," ")))),IF($A52&gt;0,INDEX(INDIRECT(F$1),MATCH($A52,Profit_and_Loss_Categories,0))," "))</f>
        <v xml:space="preserve"> </v>
      </c>
      <c r="G52" s="73" t="str">
        <f ca="1">IF(AND(G$5&gt;=Forecast_Start_Date,$A52&gt;0),IF($C52="Revenue Model",INDEX(Revenue_Forecast_Array,MATCH(G$5,Revenue_Model_Months,0)),IF($C52="% of Sales",$D52*G$16,IF($C52="Payroll Model",SUMIFS('Payroll Model'!J:J,Payroll_Mappings,'Operating Model'!$A52),IF($C52="Continue Last Month",F52," ")))),IF($A52&gt;0,INDEX(INDIRECT(G$1),MATCH($A52,Profit_and_Loss_Categories,0))," "))</f>
        <v xml:space="preserve"> </v>
      </c>
      <c r="H52" s="73" t="str">
        <f ca="1">IF(AND(H$5&gt;=Forecast_Start_Date,$A52&gt;0),IF($C52="Revenue Model",INDEX(Revenue_Forecast_Array,MATCH(H$5,Revenue_Model_Months,0)),IF($C52="% of Sales",$D52*H$16,IF($C52="Payroll Model",SUMIFS('Payroll Model'!K:K,Payroll_Mappings,'Operating Model'!$A52),IF($C52="Continue Last Month",G52," ")))),IF($A52&gt;0,INDEX(INDIRECT(H$1),MATCH($A52,Profit_and_Loss_Categories,0))," "))</f>
        <v xml:space="preserve"> </v>
      </c>
      <c r="I52" s="68" t="str">
        <f ca="1">IF(AND(I$5&gt;=Forecast_Start_Date,$A52&gt;0),IF($C52="Revenue Model",INDEX(Revenue_Forecast_Array,MATCH(I$5,Revenue_Model_Months,0)),IF($C52="% of Sales",$D52*I$16,IF($C52="Payroll Model",SUMIFS('Payroll Model'!L:L,Payroll_Mappings,'Operating Model'!$A52),IF($C52="Continue Last Month",H52," ")))),IF($A52&gt;0,INDEX(INDIRECT(I$1),MATCH($A52,Profit_and_Loss_Categories,0))," "))</f>
        <v xml:space="preserve"> </v>
      </c>
      <c r="J52" s="68" t="str">
        <f ca="1">IF(AND(J$5&gt;=Forecast_Start_Date,$A52&gt;0),IF($C52="Revenue Model",INDEX(Revenue_Forecast_Array,MATCH(J$5,Revenue_Model_Months,0)),IF($C52="% of Sales",$D52*J$16,IF($C52="Payroll Model",SUMIFS('Payroll Model'!M:M,Payroll_Mappings,'Operating Model'!$A52),IF($C52="Continue Last Month",I52," ")))),IF($A52&gt;0,INDEX(INDIRECT(J$1),MATCH($A52,Profit_and_Loss_Categories,0))," "))</f>
        <v xml:space="preserve"> </v>
      </c>
      <c r="K52" s="68" t="str">
        <f ca="1">IF(AND(K$5&gt;=Forecast_Start_Date,$A52&gt;0),IF($C52="Revenue Model",INDEX(Revenue_Forecast_Array,MATCH(K$5,Revenue_Model_Months,0)),IF($C52="% of Sales",$D52*K$16,IF($C52="Payroll Model",SUMIFS('Payroll Model'!N:N,Payroll_Mappings,'Operating Model'!$A52),IF($C52="Continue Last Month",J52," ")))),IF($A52&gt;0,INDEX(INDIRECT(K$1),MATCH($A52,Profit_and_Loss_Categories,0))," "))</f>
        <v xml:space="preserve"> </v>
      </c>
      <c r="L52" s="68" t="str">
        <f ca="1">IF(AND(L$5&gt;=Forecast_Start_Date,$A52&gt;0),IF($C52="Revenue Model",INDEX(Revenue_Forecast_Array,MATCH(L$5,Revenue_Model_Months,0)),IF($C52="% of Sales",$D52*L$16,IF($C52="Payroll Model",SUMIFS('Payroll Model'!O:O,Payroll_Mappings,'Operating Model'!$A52),IF($C52="Continue Last Month",K52," ")))),IF($A52&gt;0,INDEX(INDIRECT(L$1),MATCH($A52,Profit_and_Loss_Categories,0))," "))</f>
        <v xml:space="preserve"> </v>
      </c>
      <c r="M52" s="68" t="str">
        <f ca="1">IF(AND(M$5&gt;=Forecast_Start_Date,$A52&gt;0),IF($C52="Revenue Model",INDEX(Revenue_Forecast_Array,MATCH(M$5,Revenue_Model_Months,0)),IF($C52="% of Sales",$D52*M$16,IF($C52="Payroll Model",SUMIFS('Payroll Model'!P:P,Payroll_Mappings,'Operating Model'!$A52),IF($C52="Continue Last Month",L52," ")))),IF($A52&gt;0,INDEX(INDIRECT(M$1),MATCH($A52,Profit_and_Loss_Categories,0))," "))</f>
        <v xml:space="preserve"> </v>
      </c>
      <c r="N52" s="68" t="str">
        <f ca="1">IF(AND(N$5&gt;=Forecast_Start_Date,$A52&gt;0),IF($C52="Revenue Model",INDEX(Revenue_Forecast_Array,MATCH(N$5,Revenue_Model_Months,0)),IF($C52="% of Sales",$D52*N$16,IF($C52="Payroll Model",SUMIFS('Payroll Model'!Q:Q,Payroll_Mappings,'Operating Model'!$A52),IF($C52="Continue Last Month",M52," ")))),IF($A52&gt;0,INDEX(INDIRECT(N$1),MATCH($A52,Profit_and_Loss_Categories,0))," "))</f>
        <v xml:space="preserve"> </v>
      </c>
      <c r="O52" s="68" t="str">
        <f ca="1">IF(AND(O$5&gt;=Forecast_Start_Date,$A52&gt;0),IF($C52="Revenue Model",INDEX(Revenue_Forecast_Array,MATCH(O$5,Revenue_Model_Months,0)),IF($C52="% of Sales",$D52*O$16,IF($C52="Payroll Model",SUMIFS('Payroll Model'!R:R,Payroll_Mappings,'Operating Model'!$A52),IF($C52="Continue Last Month",N52," ")))),IF($A52&gt;0,INDEX(INDIRECT(O$1),MATCH($A52,Profit_and_Loss_Categories,0))," "))</f>
        <v xml:space="preserve"> </v>
      </c>
      <c r="P52" s="68" t="str">
        <f ca="1">IF(AND(P$5&gt;=Forecast_Start_Date,$A52&gt;0),IF($C52="Revenue Model",INDEX(Revenue_Forecast_Array,MATCH(P$5,Revenue_Model_Months,0)),IF($C52="% of Sales",$D52*P$16,IF($C52="Payroll Model",SUMIFS('Payroll Model'!S:S,Payroll_Mappings,'Operating Model'!$A52),IF($C52="Continue Last Month",O52," ")))),IF($A52&gt;0,INDEX(INDIRECT(P$1),MATCH($A52,Profit_and_Loss_Categories,0))," "))</f>
        <v xml:space="preserve"> </v>
      </c>
      <c r="Q52" s="68" t="str">
        <f ca="1">IF(AND(Q$5&gt;=Forecast_Start_Date,$A52&gt;0),IF($C52="Revenue Model",INDEX(Revenue_Forecast_Array,MATCH(Q$5,Revenue_Model_Months,0)),IF($C52="% of Sales",$D52*Q$16,IF($C52="Payroll Model",SUMIFS('Payroll Model'!T:T,Payroll_Mappings,'Operating Model'!$A52),IF($C52="Continue Last Month",P52," ")))),IF($A52&gt;0,INDEX(INDIRECT(Q$1),MATCH($A52,Profit_and_Loss_Categories,0))," "))</f>
        <v xml:space="preserve"> </v>
      </c>
    </row>
    <row r="53" spans="1:17" x14ac:dyDescent="0.2">
      <c r="A53" s="116"/>
      <c r="C53" s="66" t="s">
        <v>101</v>
      </c>
      <c r="D53" s="103" t="str">
        <f t="shared" si="6"/>
        <v xml:space="preserve"> </v>
      </c>
      <c r="F53" s="73" t="str">
        <f ca="1">IF(AND(F$5&gt;=Forecast_Start_Date,$A53&gt;0),IF($C53="Revenue Model",INDEX(Revenue_Forecast_Array,MATCH(F$5,Revenue_Model_Months,0)),IF($C53="% of Sales",$D53*F$16,IF($C53="Payroll Model",SUMIFS('Payroll Model'!I:I,Payroll_Mappings,'Operating Model'!$A53),IF($C53="Continue Last Month",E53," ")))),IF($A53&gt;0,INDEX(INDIRECT(F$1),MATCH($A53,Profit_and_Loss_Categories,0))," "))</f>
        <v xml:space="preserve"> </v>
      </c>
      <c r="G53" s="73" t="str">
        <f ca="1">IF(AND(G$5&gt;=Forecast_Start_Date,$A53&gt;0),IF($C53="Revenue Model",INDEX(Revenue_Forecast_Array,MATCH(G$5,Revenue_Model_Months,0)),IF($C53="% of Sales",$D53*G$16,IF($C53="Payroll Model",SUMIFS('Payroll Model'!J:J,Payroll_Mappings,'Operating Model'!$A53),IF($C53="Continue Last Month",F53," ")))),IF($A53&gt;0,INDEX(INDIRECT(G$1),MATCH($A53,Profit_and_Loss_Categories,0))," "))</f>
        <v xml:space="preserve"> </v>
      </c>
      <c r="H53" s="73" t="str">
        <f ca="1">IF(AND(H$5&gt;=Forecast_Start_Date,$A53&gt;0),IF($C53="Revenue Model",INDEX(Revenue_Forecast_Array,MATCH(H$5,Revenue_Model_Months,0)),IF($C53="% of Sales",$D53*H$16,IF($C53="Payroll Model",SUMIFS('Payroll Model'!K:K,Payroll_Mappings,'Operating Model'!$A53),IF($C53="Continue Last Month",G53," ")))),IF($A53&gt;0,INDEX(INDIRECT(H$1),MATCH($A53,Profit_and_Loss_Categories,0))," "))</f>
        <v xml:space="preserve"> </v>
      </c>
      <c r="I53" s="68" t="str">
        <f ca="1">IF(AND(I$5&gt;=Forecast_Start_Date,$A53&gt;0),IF($C53="Revenue Model",INDEX(Revenue_Forecast_Array,MATCH(I$5,Revenue_Model_Months,0)),IF($C53="% of Sales",$D53*I$16,IF($C53="Payroll Model",SUMIFS('Payroll Model'!L:L,Payroll_Mappings,'Operating Model'!$A53),IF($C53="Continue Last Month",H53," ")))),IF($A53&gt;0,INDEX(INDIRECT(I$1),MATCH($A53,Profit_and_Loss_Categories,0))," "))</f>
        <v xml:space="preserve"> </v>
      </c>
      <c r="J53" s="68" t="str">
        <f ca="1">IF(AND(J$5&gt;=Forecast_Start_Date,$A53&gt;0),IF($C53="Revenue Model",INDEX(Revenue_Forecast_Array,MATCH(J$5,Revenue_Model_Months,0)),IF($C53="% of Sales",$D53*J$16,IF($C53="Payroll Model",SUMIFS('Payroll Model'!M:M,Payroll_Mappings,'Operating Model'!$A53),IF($C53="Continue Last Month",I53," ")))),IF($A53&gt;0,INDEX(INDIRECT(J$1),MATCH($A53,Profit_and_Loss_Categories,0))," "))</f>
        <v xml:space="preserve"> </v>
      </c>
      <c r="K53" s="68" t="str">
        <f ca="1">IF(AND(K$5&gt;=Forecast_Start_Date,$A53&gt;0),IF($C53="Revenue Model",INDEX(Revenue_Forecast_Array,MATCH(K$5,Revenue_Model_Months,0)),IF($C53="% of Sales",$D53*K$16,IF($C53="Payroll Model",SUMIFS('Payroll Model'!N:N,Payroll_Mappings,'Operating Model'!$A53),IF($C53="Continue Last Month",J53," ")))),IF($A53&gt;0,INDEX(INDIRECT(K$1),MATCH($A53,Profit_and_Loss_Categories,0))," "))</f>
        <v xml:space="preserve"> </v>
      </c>
      <c r="L53" s="68" t="str">
        <f ca="1">IF(AND(L$5&gt;=Forecast_Start_Date,$A53&gt;0),IF($C53="Revenue Model",INDEX(Revenue_Forecast_Array,MATCH(L$5,Revenue_Model_Months,0)),IF($C53="% of Sales",$D53*L$16,IF($C53="Payroll Model",SUMIFS('Payroll Model'!O:O,Payroll_Mappings,'Operating Model'!$A53),IF($C53="Continue Last Month",K53," ")))),IF($A53&gt;0,INDEX(INDIRECT(L$1),MATCH($A53,Profit_and_Loss_Categories,0))," "))</f>
        <v xml:space="preserve"> </v>
      </c>
      <c r="M53" s="68" t="str">
        <f ca="1">IF(AND(M$5&gt;=Forecast_Start_Date,$A53&gt;0),IF($C53="Revenue Model",INDEX(Revenue_Forecast_Array,MATCH(M$5,Revenue_Model_Months,0)),IF($C53="% of Sales",$D53*M$16,IF($C53="Payroll Model",SUMIFS('Payroll Model'!P:P,Payroll_Mappings,'Operating Model'!$A53),IF($C53="Continue Last Month",L53," ")))),IF($A53&gt;0,INDEX(INDIRECT(M$1),MATCH($A53,Profit_and_Loss_Categories,0))," "))</f>
        <v xml:space="preserve"> </v>
      </c>
      <c r="N53" s="68" t="str">
        <f ca="1">IF(AND(N$5&gt;=Forecast_Start_Date,$A53&gt;0),IF($C53="Revenue Model",INDEX(Revenue_Forecast_Array,MATCH(N$5,Revenue_Model_Months,0)),IF($C53="% of Sales",$D53*N$16,IF($C53="Payroll Model",SUMIFS('Payroll Model'!Q:Q,Payroll_Mappings,'Operating Model'!$A53),IF($C53="Continue Last Month",M53," ")))),IF($A53&gt;0,INDEX(INDIRECT(N$1),MATCH($A53,Profit_and_Loss_Categories,0))," "))</f>
        <v xml:space="preserve"> </v>
      </c>
      <c r="O53" s="68" t="str">
        <f ca="1">IF(AND(O$5&gt;=Forecast_Start_Date,$A53&gt;0),IF($C53="Revenue Model",INDEX(Revenue_Forecast_Array,MATCH(O$5,Revenue_Model_Months,0)),IF($C53="% of Sales",$D53*O$16,IF($C53="Payroll Model",SUMIFS('Payroll Model'!R:R,Payroll_Mappings,'Operating Model'!$A53),IF($C53="Continue Last Month",N53," ")))),IF($A53&gt;0,INDEX(INDIRECT(O$1),MATCH($A53,Profit_and_Loss_Categories,0))," "))</f>
        <v xml:space="preserve"> </v>
      </c>
      <c r="P53" s="68" t="str">
        <f ca="1">IF(AND(P$5&gt;=Forecast_Start_Date,$A53&gt;0),IF($C53="Revenue Model",INDEX(Revenue_Forecast_Array,MATCH(P$5,Revenue_Model_Months,0)),IF($C53="% of Sales",$D53*P$16,IF($C53="Payroll Model",SUMIFS('Payroll Model'!S:S,Payroll_Mappings,'Operating Model'!$A53),IF($C53="Continue Last Month",O53," ")))),IF($A53&gt;0,INDEX(INDIRECT(P$1),MATCH($A53,Profit_and_Loss_Categories,0))," "))</f>
        <v xml:space="preserve"> </v>
      </c>
      <c r="Q53" s="68" t="str">
        <f ca="1">IF(AND(Q$5&gt;=Forecast_Start_Date,$A53&gt;0),IF($C53="Revenue Model",INDEX(Revenue_Forecast_Array,MATCH(Q$5,Revenue_Model_Months,0)),IF($C53="% of Sales",$D53*Q$16,IF($C53="Payroll Model",SUMIFS('Payroll Model'!T:T,Payroll_Mappings,'Operating Model'!$A53),IF($C53="Continue Last Month",P53," ")))),IF($A53&gt;0,INDEX(INDIRECT(Q$1),MATCH($A53,Profit_and_Loss_Categories,0))," "))</f>
        <v xml:space="preserve"> </v>
      </c>
    </row>
    <row r="54" spans="1:17" x14ac:dyDescent="0.2">
      <c r="A54" s="118"/>
      <c r="C54" s="66" t="s">
        <v>101</v>
      </c>
      <c r="D54" s="103" t="str">
        <f t="shared" si="6"/>
        <v xml:space="preserve"> </v>
      </c>
      <c r="F54" s="73" t="str">
        <f ca="1">IF(AND(F$5&gt;=Forecast_Start_Date,$A54&gt;0),IF($C54="Revenue Model",INDEX(Revenue_Forecast_Array,MATCH(F$5,Revenue_Model_Months,0)),IF($C54="% of Sales",$D54*F$16,IF($C54="Payroll Model",SUMIFS('Payroll Model'!I:I,Payroll_Mappings,'Operating Model'!$A54),IF($C54="Continue Last Month",E54," ")))),IF($A54&gt;0,INDEX(INDIRECT(F$1),MATCH($A54,Profit_and_Loss_Categories,0))," "))</f>
        <v xml:space="preserve"> </v>
      </c>
      <c r="G54" s="73" t="str">
        <f ca="1">IF(AND(G$5&gt;=Forecast_Start_Date,$A54&gt;0),IF($C54="Revenue Model",INDEX(Revenue_Forecast_Array,MATCH(G$5,Revenue_Model_Months,0)),IF($C54="% of Sales",$D54*G$16,IF($C54="Payroll Model",SUMIFS('Payroll Model'!J:J,Payroll_Mappings,'Operating Model'!$A54),IF($C54="Continue Last Month",F54," ")))),IF($A54&gt;0,INDEX(INDIRECT(G$1),MATCH($A54,Profit_and_Loss_Categories,0))," "))</f>
        <v xml:space="preserve"> </v>
      </c>
      <c r="H54" s="73" t="str">
        <f ca="1">IF(AND(H$5&gt;=Forecast_Start_Date,$A54&gt;0),IF($C54="Revenue Model",INDEX(Revenue_Forecast_Array,MATCH(H$5,Revenue_Model_Months,0)),IF($C54="% of Sales",$D54*H$16,IF($C54="Payroll Model",SUMIFS('Payroll Model'!K:K,Payroll_Mappings,'Operating Model'!$A54),IF($C54="Continue Last Month",G54," ")))),IF($A54&gt;0,INDEX(INDIRECT(H$1),MATCH($A54,Profit_and_Loss_Categories,0))," "))</f>
        <v xml:space="preserve"> </v>
      </c>
      <c r="I54" s="68" t="str">
        <f ca="1">IF(AND(I$5&gt;=Forecast_Start_Date,$A54&gt;0),IF($C54="Revenue Model",INDEX(Revenue_Forecast_Array,MATCH(I$5,Revenue_Model_Months,0)),IF($C54="% of Sales",$D54*I$16,IF($C54="Payroll Model",SUMIFS('Payroll Model'!L:L,Payroll_Mappings,'Operating Model'!$A54),IF($C54="Continue Last Month",H54," ")))),IF($A54&gt;0,INDEX(INDIRECT(I$1),MATCH($A54,Profit_and_Loss_Categories,0))," "))</f>
        <v xml:space="preserve"> </v>
      </c>
      <c r="J54" s="68" t="str">
        <f ca="1">IF(AND(J$5&gt;=Forecast_Start_Date,$A54&gt;0),IF($C54="Revenue Model",INDEX(Revenue_Forecast_Array,MATCH(J$5,Revenue_Model_Months,0)),IF($C54="% of Sales",$D54*J$16,IF($C54="Payroll Model",SUMIFS('Payroll Model'!M:M,Payroll_Mappings,'Operating Model'!$A54),IF($C54="Continue Last Month",I54," ")))),IF($A54&gt;0,INDEX(INDIRECT(J$1),MATCH($A54,Profit_and_Loss_Categories,0))," "))</f>
        <v xml:space="preserve"> </v>
      </c>
      <c r="K54" s="68" t="str">
        <f ca="1">IF(AND(K$5&gt;=Forecast_Start_Date,$A54&gt;0),IF($C54="Revenue Model",INDEX(Revenue_Forecast_Array,MATCH(K$5,Revenue_Model_Months,0)),IF($C54="% of Sales",$D54*K$16,IF($C54="Payroll Model",SUMIFS('Payroll Model'!N:N,Payroll_Mappings,'Operating Model'!$A54),IF($C54="Continue Last Month",J54," ")))),IF($A54&gt;0,INDEX(INDIRECT(K$1),MATCH($A54,Profit_and_Loss_Categories,0))," "))</f>
        <v xml:space="preserve"> </v>
      </c>
      <c r="L54" s="68" t="str">
        <f ca="1">IF(AND(L$5&gt;=Forecast_Start_Date,$A54&gt;0),IF($C54="Revenue Model",INDEX(Revenue_Forecast_Array,MATCH(L$5,Revenue_Model_Months,0)),IF($C54="% of Sales",$D54*L$16,IF($C54="Payroll Model",SUMIFS('Payroll Model'!O:O,Payroll_Mappings,'Operating Model'!$A54),IF($C54="Continue Last Month",K54," ")))),IF($A54&gt;0,INDEX(INDIRECT(L$1),MATCH($A54,Profit_and_Loss_Categories,0))," "))</f>
        <v xml:space="preserve"> </v>
      </c>
      <c r="M54" s="68" t="str">
        <f ca="1">IF(AND(M$5&gt;=Forecast_Start_Date,$A54&gt;0),IF($C54="Revenue Model",INDEX(Revenue_Forecast_Array,MATCH(M$5,Revenue_Model_Months,0)),IF($C54="% of Sales",$D54*M$16,IF($C54="Payroll Model",SUMIFS('Payroll Model'!P:P,Payroll_Mappings,'Operating Model'!$A54),IF($C54="Continue Last Month",L54," ")))),IF($A54&gt;0,INDEX(INDIRECT(M$1),MATCH($A54,Profit_and_Loss_Categories,0))," "))</f>
        <v xml:space="preserve"> </v>
      </c>
      <c r="N54" s="68" t="str">
        <f ca="1">IF(AND(N$5&gt;=Forecast_Start_Date,$A54&gt;0),IF($C54="Revenue Model",INDEX(Revenue_Forecast_Array,MATCH(N$5,Revenue_Model_Months,0)),IF($C54="% of Sales",$D54*N$16,IF($C54="Payroll Model",SUMIFS('Payroll Model'!Q:Q,Payroll_Mappings,'Operating Model'!$A54),IF($C54="Continue Last Month",M54," ")))),IF($A54&gt;0,INDEX(INDIRECT(N$1),MATCH($A54,Profit_and_Loss_Categories,0))," "))</f>
        <v xml:space="preserve"> </v>
      </c>
      <c r="O54" s="68" t="str">
        <f ca="1">IF(AND(O$5&gt;=Forecast_Start_Date,$A54&gt;0),IF($C54="Revenue Model",INDEX(Revenue_Forecast_Array,MATCH(O$5,Revenue_Model_Months,0)),IF($C54="% of Sales",$D54*O$16,IF($C54="Payroll Model",SUMIFS('Payroll Model'!R:R,Payroll_Mappings,'Operating Model'!$A54),IF($C54="Continue Last Month",N54," ")))),IF($A54&gt;0,INDEX(INDIRECT(O$1),MATCH($A54,Profit_and_Loss_Categories,0))," "))</f>
        <v xml:space="preserve"> </v>
      </c>
      <c r="P54" s="68" t="str">
        <f ca="1">IF(AND(P$5&gt;=Forecast_Start_Date,$A54&gt;0),IF($C54="Revenue Model",INDEX(Revenue_Forecast_Array,MATCH(P$5,Revenue_Model_Months,0)),IF($C54="% of Sales",$D54*P$16,IF($C54="Payroll Model",SUMIFS('Payroll Model'!S:S,Payroll_Mappings,'Operating Model'!$A54),IF($C54="Continue Last Month",O54," ")))),IF($A54&gt;0,INDEX(INDIRECT(P$1),MATCH($A54,Profit_and_Loss_Categories,0))," "))</f>
        <v xml:space="preserve"> </v>
      </c>
      <c r="Q54" s="68" t="str">
        <f ca="1">IF(AND(Q$5&gt;=Forecast_Start_Date,$A54&gt;0),IF($C54="Revenue Model",INDEX(Revenue_Forecast_Array,MATCH(Q$5,Revenue_Model_Months,0)),IF($C54="% of Sales",$D54*Q$16,IF($C54="Payroll Model",SUMIFS('Payroll Model'!T:T,Payroll_Mappings,'Operating Model'!$A54),IF($C54="Continue Last Month",P54," ")))),IF($A54&gt;0,INDEX(INDIRECT(Q$1),MATCH($A54,Profit_and_Loss_Categories,0))," "))</f>
        <v xml:space="preserve"> </v>
      </c>
    </row>
    <row r="55" spans="1:17" x14ac:dyDescent="0.2">
      <c r="A55" s="116"/>
      <c r="C55" s="66" t="s">
        <v>101</v>
      </c>
      <c r="D55" s="103" t="str">
        <f t="shared" si="6"/>
        <v xml:space="preserve"> </v>
      </c>
      <c r="F55" s="73" t="str">
        <f ca="1">IF(AND(F$5&gt;=Forecast_Start_Date,$A55&gt;0),IF($C55="Revenue Model",INDEX(Revenue_Forecast_Array,MATCH(F$5,Revenue_Model_Months,0)),IF($C55="% of Sales",$D55*F$16,IF($C55="Payroll Model",SUMIFS('Payroll Model'!I:I,Payroll_Mappings,'Operating Model'!$A55),IF($C55="Continue Last Month",E55," ")))),IF($A55&gt;0,INDEX(INDIRECT(F$1),MATCH($A55,Profit_and_Loss_Categories,0))," "))</f>
        <v xml:space="preserve"> </v>
      </c>
      <c r="G55" s="73" t="str">
        <f ca="1">IF(AND(G$5&gt;=Forecast_Start_Date,$A55&gt;0),IF($C55="Revenue Model",INDEX(Revenue_Forecast_Array,MATCH(G$5,Revenue_Model_Months,0)),IF($C55="% of Sales",$D55*G$16,IF($C55="Payroll Model",SUMIFS('Payroll Model'!J:J,Payroll_Mappings,'Operating Model'!$A55),IF($C55="Continue Last Month",F55," ")))),IF($A55&gt;0,INDEX(INDIRECT(G$1),MATCH($A55,Profit_and_Loss_Categories,0))," "))</f>
        <v xml:space="preserve"> </v>
      </c>
      <c r="H55" s="73" t="str">
        <f ca="1">IF(AND(H$5&gt;=Forecast_Start_Date,$A55&gt;0),IF($C55="Revenue Model",INDEX(Revenue_Forecast_Array,MATCH(H$5,Revenue_Model_Months,0)),IF($C55="% of Sales",$D55*H$16,IF($C55="Payroll Model",SUMIFS('Payroll Model'!K:K,Payroll_Mappings,'Operating Model'!$A55),IF($C55="Continue Last Month",G55," ")))),IF($A55&gt;0,INDEX(INDIRECT(H$1),MATCH($A55,Profit_and_Loss_Categories,0))," "))</f>
        <v xml:space="preserve"> </v>
      </c>
      <c r="I55" s="68" t="str">
        <f ca="1">IF(AND(I$5&gt;=Forecast_Start_Date,$A55&gt;0),IF($C55="Revenue Model",INDEX(Revenue_Forecast_Array,MATCH(I$5,Revenue_Model_Months,0)),IF($C55="% of Sales",$D55*I$16,IF($C55="Payroll Model",SUMIFS('Payroll Model'!L:L,Payroll_Mappings,'Operating Model'!$A55),IF($C55="Continue Last Month",H55," ")))),IF($A55&gt;0,INDEX(INDIRECT(I$1),MATCH($A55,Profit_and_Loss_Categories,0))," "))</f>
        <v xml:space="preserve"> </v>
      </c>
      <c r="J55" s="68" t="str">
        <f ca="1">IF(AND(J$5&gt;=Forecast_Start_Date,$A55&gt;0),IF($C55="Revenue Model",INDEX(Revenue_Forecast_Array,MATCH(J$5,Revenue_Model_Months,0)),IF($C55="% of Sales",$D55*J$16,IF($C55="Payroll Model",SUMIFS('Payroll Model'!M:M,Payroll_Mappings,'Operating Model'!$A55),IF($C55="Continue Last Month",I55," ")))),IF($A55&gt;0,INDEX(INDIRECT(J$1),MATCH($A55,Profit_and_Loss_Categories,0))," "))</f>
        <v xml:space="preserve"> </v>
      </c>
      <c r="K55" s="68" t="str">
        <f ca="1">IF(AND(K$5&gt;=Forecast_Start_Date,$A55&gt;0),IF($C55="Revenue Model",INDEX(Revenue_Forecast_Array,MATCH(K$5,Revenue_Model_Months,0)),IF($C55="% of Sales",$D55*K$16,IF($C55="Payroll Model",SUMIFS('Payroll Model'!N:N,Payroll_Mappings,'Operating Model'!$A55),IF($C55="Continue Last Month",J55," ")))),IF($A55&gt;0,INDEX(INDIRECT(K$1),MATCH($A55,Profit_and_Loss_Categories,0))," "))</f>
        <v xml:space="preserve"> </v>
      </c>
      <c r="L55" s="68" t="str">
        <f ca="1">IF(AND(L$5&gt;=Forecast_Start_Date,$A55&gt;0),IF($C55="Revenue Model",INDEX(Revenue_Forecast_Array,MATCH(L$5,Revenue_Model_Months,0)),IF($C55="% of Sales",$D55*L$16,IF($C55="Payroll Model",SUMIFS('Payroll Model'!O:O,Payroll_Mappings,'Operating Model'!$A55),IF($C55="Continue Last Month",K55," ")))),IF($A55&gt;0,INDEX(INDIRECT(L$1),MATCH($A55,Profit_and_Loss_Categories,0))," "))</f>
        <v xml:space="preserve"> </v>
      </c>
      <c r="M55" s="68" t="str">
        <f ca="1">IF(AND(M$5&gt;=Forecast_Start_Date,$A55&gt;0),IF($C55="Revenue Model",INDEX(Revenue_Forecast_Array,MATCH(M$5,Revenue_Model_Months,0)),IF($C55="% of Sales",$D55*M$16,IF($C55="Payroll Model",SUMIFS('Payroll Model'!P:P,Payroll_Mappings,'Operating Model'!$A55),IF($C55="Continue Last Month",L55," ")))),IF($A55&gt;0,INDEX(INDIRECT(M$1),MATCH($A55,Profit_and_Loss_Categories,0))," "))</f>
        <v xml:space="preserve"> </v>
      </c>
      <c r="N55" s="68" t="str">
        <f ca="1">IF(AND(N$5&gt;=Forecast_Start_Date,$A55&gt;0),IF($C55="Revenue Model",INDEX(Revenue_Forecast_Array,MATCH(N$5,Revenue_Model_Months,0)),IF($C55="% of Sales",$D55*N$16,IF($C55="Payroll Model",SUMIFS('Payroll Model'!Q:Q,Payroll_Mappings,'Operating Model'!$A55),IF($C55="Continue Last Month",M55," ")))),IF($A55&gt;0,INDEX(INDIRECT(N$1),MATCH($A55,Profit_and_Loss_Categories,0))," "))</f>
        <v xml:space="preserve"> </v>
      </c>
      <c r="O55" s="68" t="str">
        <f ca="1">IF(AND(O$5&gt;=Forecast_Start_Date,$A55&gt;0),IF($C55="Revenue Model",INDEX(Revenue_Forecast_Array,MATCH(O$5,Revenue_Model_Months,0)),IF($C55="% of Sales",$D55*O$16,IF($C55="Payroll Model",SUMIFS('Payroll Model'!R:R,Payroll_Mappings,'Operating Model'!$A55),IF($C55="Continue Last Month",N55," ")))),IF($A55&gt;0,INDEX(INDIRECT(O$1),MATCH($A55,Profit_and_Loss_Categories,0))," "))</f>
        <v xml:space="preserve"> </v>
      </c>
      <c r="P55" s="68" t="str">
        <f ca="1">IF(AND(P$5&gt;=Forecast_Start_Date,$A55&gt;0),IF($C55="Revenue Model",INDEX(Revenue_Forecast_Array,MATCH(P$5,Revenue_Model_Months,0)),IF($C55="% of Sales",$D55*P$16,IF($C55="Payroll Model",SUMIFS('Payroll Model'!S:S,Payroll_Mappings,'Operating Model'!$A55),IF($C55="Continue Last Month",O55," ")))),IF($A55&gt;0,INDEX(INDIRECT(P$1),MATCH($A55,Profit_and_Loss_Categories,0))," "))</f>
        <v xml:space="preserve"> </v>
      </c>
      <c r="Q55" s="68" t="str">
        <f ca="1">IF(AND(Q$5&gt;=Forecast_Start_Date,$A55&gt;0),IF($C55="Revenue Model",INDEX(Revenue_Forecast_Array,MATCH(Q$5,Revenue_Model_Months,0)),IF($C55="% of Sales",$D55*Q$16,IF($C55="Payroll Model",SUMIFS('Payroll Model'!T:T,Payroll_Mappings,'Operating Model'!$A55),IF($C55="Continue Last Month",P55," ")))),IF($A55&gt;0,INDEX(INDIRECT(Q$1),MATCH($A55,Profit_and_Loss_Categories,0))," "))</f>
        <v xml:space="preserve"> </v>
      </c>
    </row>
    <row r="56" spans="1:17" x14ac:dyDescent="0.2">
      <c r="A56" s="118"/>
      <c r="C56" s="66" t="s">
        <v>101</v>
      </c>
      <c r="D56" s="103" t="str">
        <f t="shared" si="6"/>
        <v xml:space="preserve"> </v>
      </c>
      <c r="F56" s="73" t="str">
        <f ca="1">IF(AND(F$5&gt;=Forecast_Start_Date,$A56&gt;0),IF($C56="Revenue Model",INDEX(Revenue_Forecast_Array,MATCH(F$5,Revenue_Model_Months,0)),IF($C56="% of Sales",$D56*F$16,IF($C56="Payroll Model",SUMIFS('Payroll Model'!I:I,Payroll_Mappings,'Operating Model'!$A56),IF($C56="Continue Last Month",E56," ")))),IF($A56&gt;0,INDEX(INDIRECT(F$1),MATCH($A56,Profit_and_Loss_Categories,0))," "))</f>
        <v xml:space="preserve"> </v>
      </c>
      <c r="G56" s="73" t="str">
        <f ca="1">IF(AND(G$5&gt;=Forecast_Start_Date,$A56&gt;0),IF($C56="Revenue Model",INDEX(Revenue_Forecast_Array,MATCH(G$5,Revenue_Model_Months,0)),IF($C56="% of Sales",$D56*G$16,IF($C56="Payroll Model",SUMIFS('Payroll Model'!J:J,Payroll_Mappings,'Operating Model'!$A56),IF($C56="Continue Last Month",F56," ")))),IF($A56&gt;0,INDEX(INDIRECT(G$1),MATCH($A56,Profit_and_Loss_Categories,0))," "))</f>
        <v xml:space="preserve"> </v>
      </c>
      <c r="H56" s="73" t="str">
        <f ca="1">IF(AND(H$5&gt;=Forecast_Start_Date,$A56&gt;0),IF($C56="Revenue Model",INDEX(Revenue_Forecast_Array,MATCH(H$5,Revenue_Model_Months,0)),IF($C56="% of Sales",$D56*H$16,IF($C56="Payroll Model",SUMIFS('Payroll Model'!K:K,Payroll_Mappings,'Operating Model'!$A56),IF($C56="Continue Last Month",G56," ")))),IF($A56&gt;0,INDEX(INDIRECT(H$1),MATCH($A56,Profit_and_Loss_Categories,0))," "))</f>
        <v xml:space="preserve"> </v>
      </c>
      <c r="I56" s="68" t="str">
        <f ca="1">IF(AND(I$5&gt;=Forecast_Start_Date,$A56&gt;0),IF($C56="Revenue Model",INDEX(Revenue_Forecast_Array,MATCH(I$5,Revenue_Model_Months,0)),IF($C56="% of Sales",$D56*I$16,IF($C56="Payroll Model",SUMIFS('Payroll Model'!L:L,Payroll_Mappings,'Operating Model'!$A56),IF($C56="Continue Last Month",H56," ")))),IF($A56&gt;0,INDEX(INDIRECT(I$1),MATCH($A56,Profit_and_Loss_Categories,0))," "))</f>
        <v xml:space="preserve"> </v>
      </c>
      <c r="J56" s="68" t="str">
        <f ca="1">IF(AND(J$5&gt;=Forecast_Start_Date,$A56&gt;0),IF($C56="Revenue Model",INDEX(Revenue_Forecast_Array,MATCH(J$5,Revenue_Model_Months,0)),IF($C56="% of Sales",$D56*J$16,IF($C56="Payroll Model",SUMIFS('Payroll Model'!M:M,Payroll_Mappings,'Operating Model'!$A56),IF($C56="Continue Last Month",I56," ")))),IF($A56&gt;0,INDEX(INDIRECT(J$1),MATCH($A56,Profit_and_Loss_Categories,0))," "))</f>
        <v xml:space="preserve"> </v>
      </c>
      <c r="K56" s="68" t="str">
        <f ca="1">IF(AND(K$5&gt;=Forecast_Start_Date,$A56&gt;0),IF($C56="Revenue Model",INDEX(Revenue_Forecast_Array,MATCH(K$5,Revenue_Model_Months,0)),IF($C56="% of Sales",$D56*K$16,IF($C56="Payroll Model",SUMIFS('Payroll Model'!N:N,Payroll_Mappings,'Operating Model'!$A56),IF($C56="Continue Last Month",J56," ")))),IF($A56&gt;0,INDEX(INDIRECT(K$1),MATCH($A56,Profit_and_Loss_Categories,0))," "))</f>
        <v xml:space="preserve"> </v>
      </c>
      <c r="L56" s="68" t="str">
        <f ca="1">IF(AND(L$5&gt;=Forecast_Start_Date,$A56&gt;0),IF($C56="Revenue Model",INDEX(Revenue_Forecast_Array,MATCH(L$5,Revenue_Model_Months,0)),IF($C56="% of Sales",$D56*L$16,IF($C56="Payroll Model",SUMIFS('Payroll Model'!O:O,Payroll_Mappings,'Operating Model'!$A56),IF($C56="Continue Last Month",K56," ")))),IF($A56&gt;0,INDEX(INDIRECT(L$1),MATCH($A56,Profit_and_Loss_Categories,0))," "))</f>
        <v xml:space="preserve"> </v>
      </c>
      <c r="M56" s="68" t="str">
        <f ca="1">IF(AND(M$5&gt;=Forecast_Start_Date,$A56&gt;0),IF($C56="Revenue Model",INDEX(Revenue_Forecast_Array,MATCH(M$5,Revenue_Model_Months,0)),IF($C56="% of Sales",$D56*M$16,IF($C56="Payroll Model",SUMIFS('Payroll Model'!P:P,Payroll_Mappings,'Operating Model'!$A56),IF($C56="Continue Last Month",L56," ")))),IF($A56&gt;0,INDEX(INDIRECT(M$1),MATCH($A56,Profit_and_Loss_Categories,0))," "))</f>
        <v xml:space="preserve"> </v>
      </c>
      <c r="N56" s="68" t="str">
        <f ca="1">IF(AND(N$5&gt;=Forecast_Start_Date,$A56&gt;0),IF($C56="Revenue Model",INDEX(Revenue_Forecast_Array,MATCH(N$5,Revenue_Model_Months,0)),IF($C56="% of Sales",$D56*N$16,IF($C56="Payroll Model",SUMIFS('Payroll Model'!Q:Q,Payroll_Mappings,'Operating Model'!$A56),IF($C56="Continue Last Month",M56," ")))),IF($A56&gt;0,INDEX(INDIRECT(N$1),MATCH($A56,Profit_and_Loss_Categories,0))," "))</f>
        <v xml:space="preserve"> </v>
      </c>
      <c r="O56" s="68" t="str">
        <f ca="1">IF(AND(O$5&gt;=Forecast_Start_Date,$A56&gt;0),IF($C56="Revenue Model",INDEX(Revenue_Forecast_Array,MATCH(O$5,Revenue_Model_Months,0)),IF($C56="% of Sales",$D56*O$16,IF($C56="Payroll Model",SUMIFS('Payroll Model'!R:R,Payroll_Mappings,'Operating Model'!$A56),IF($C56="Continue Last Month",N56," ")))),IF($A56&gt;0,INDEX(INDIRECT(O$1),MATCH($A56,Profit_and_Loss_Categories,0))," "))</f>
        <v xml:space="preserve"> </v>
      </c>
      <c r="P56" s="68" t="str">
        <f ca="1">IF(AND(P$5&gt;=Forecast_Start_Date,$A56&gt;0),IF($C56="Revenue Model",INDEX(Revenue_Forecast_Array,MATCH(P$5,Revenue_Model_Months,0)),IF($C56="% of Sales",$D56*P$16,IF($C56="Payroll Model",SUMIFS('Payroll Model'!S:S,Payroll_Mappings,'Operating Model'!$A56),IF($C56="Continue Last Month",O56," ")))),IF($A56&gt;0,INDEX(INDIRECT(P$1),MATCH($A56,Profit_and_Loss_Categories,0))," "))</f>
        <v xml:space="preserve"> </v>
      </c>
      <c r="Q56" s="68" t="str">
        <f ca="1">IF(AND(Q$5&gt;=Forecast_Start_Date,$A56&gt;0),IF($C56="Revenue Model",INDEX(Revenue_Forecast_Array,MATCH(Q$5,Revenue_Model_Months,0)),IF($C56="% of Sales",$D56*Q$16,IF($C56="Payroll Model",SUMIFS('Payroll Model'!T:T,Payroll_Mappings,'Operating Model'!$A56),IF($C56="Continue Last Month",P56," ")))),IF($A56&gt;0,INDEX(INDIRECT(Q$1),MATCH($A56,Profit_and_Loss_Categories,0))," "))</f>
        <v xml:space="preserve"> </v>
      </c>
    </row>
    <row r="57" spans="1:17" x14ac:dyDescent="0.2">
      <c r="A57" s="118"/>
      <c r="C57" s="66" t="s">
        <v>101</v>
      </c>
      <c r="D57" s="103" t="str">
        <f t="shared" si="6"/>
        <v xml:space="preserve"> </v>
      </c>
      <c r="F57" s="73" t="str">
        <f ca="1">IF(AND(F$5&gt;=Forecast_Start_Date,$A57&gt;0),IF($C57="Revenue Model",INDEX(Revenue_Forecast_Array,MATCH(F$5,Revenue_Model_Months,0)),IF($C57="% of Sales",$D57*F$16,IF($C57="Payroll Model",SUMIFS('Payroll Model'!I:I,Payroll_Mappings,'Operating Model'!$A57),IF($C57="Continue Last Month",E57," ")))),IF($A57&gt;0,INDEX(INDIRECT(F$1),MATCH($A57,Profit_and_Loss_Categories,0))," "))</f>
        <v xml:space="preserve"> </v>
      </c>
      <c r="G57" s="73" t="str">
        <f ca="1">IF(AND(G$5&gt;=Forecast_Start_Date,$A57&gt;0),IF($C57="Revenue Model",INDEX(Revenue_Forecast_Array,MATCH(G$5,Revenue_Model_Months,0)),IF($C57="% of Sales",$D57*G$16,IF($C57="Payroll Model",SUMIFS('Payroll Model'!J:J,Payroll_Mappings,'Operating Model'!$A57),IF($C57="Continue Last Month",F57," ")))),IF($A57&gt;0,INDEX(INDIRECT(G$1),MATCH($A57,Profit_and_Loss_Categories,0))," "))</f>
        <v xml:space="preserve"> </v>
      </c>
      <c r="H57" s="73" t="str">
        <f ca="1">IF(AND(H$5&gt;=Forecast_Start_Date,$A57&gt;0),IF($C57="Revenue Model",INDEX(Revenue_Forecast_Array,MATCH(H$5,Revenue_Model_Months,0)),IF($C57="% of Sales",$D57*H$16,IF($C57="Payroll Model",SUMIFS('Payroll Model'!K:K,Payroll_Mappings,'Operating Model'!$A57),IF($C57="Continue Last Month",G57," ")))),IF($A57&gt;0,INDEX(INDIRECT(H$1),MATCH($A57,Profit_and_Loss_Categories,0))," "))</f>
        <v xml:space="preserve"> </v>
      </c>
      <c r="I57" s="68" t="str">
        <f ca="1">IF(AND(I$5&gt;=Forecast_Start_Date,$A57&gt;0),IF($C57="Revenue Model",INDEX(Revenue_Forecast_Array,MATCH(I$5,Revenue_Model_Months,0)),IF($C57="% of Sales",$D57*I$16,IF($C57="Payroll Model",SUMIFS('Payroll Model'!L:L,Payroll_Mappings,'Operating Model'!$A57),IF($C57="Continue Last Month",H57," ")))),IF($A57&gt;0,INDEX(INDIRECT(I$1),MATCH($A57,Profit_and_Loss_Categories,0))," "))</f>
        <v xml:space="preserve"> </v>
      </c>
      <c r="J57" s="68" t="str">
        <f ca="1">IF(AND(J$5&gt;=Forecast_Start_Date,$A57&gt;0),IF($C57="Revenue Model",INDEX(Revenue_Forecast_Array,MATCH(J$5,Revenue_Model_Months,0)),IF($C57="% of Sales",$D57*J$16,IF($C57="Payroll Model",SUMIFS('Payroll Model'!M:M,Payroll_Mappings,'Operating Model'!$A57),IF($C57="Continue Last Month",I57," ")))),IF($A57&gt;0,INDEX(INDIRECT(J$1),MATCH($A57,Profit_and_Loss_Categories,0))," "))</f>
        <v xml:space="preserve"> </v>
      </c>
      <c r="K57" s="68" t="str">
        <f ca="1">IF(AND(K$5&gt;=Forecast_Start_Date,$A57&gt;0),IF($C57="Revenue Model",INDEX(Revenue_Forecast_Array,MATCH(K$5,Revenue_Model_Months,0)),IF($C57="% of Sales",$D57*K$16,IF($C57="Payroll Model",SUMIFS('Payroll Model'!N:N,Payroll_Mappings,'Operating Model'!$A57),IF($C57="Continue Last Month",J57," ")))),IF($A57&gt;0,INDEX(INDIRECT(K$1),MATCH($A57,Profit_and_Loss_Categories,0))," "))</f>
        <v xml:space="preserve"> </v>
      </c>
      <c r="L57" s="68" t="str">
        <f ca="1">IF(AND(L$5&gt;=Forecast_Start_Date,$A57&gt;0),IF($C57="Revenue Model",INDEX(Revenue_Forecast_Array,MATCH(L$5,Revenue_Model_Months,0)),IF($C57="% of Sales",$D57*L$16,IF($C57="Payroll Model",SUMIFS('Payroll Model'!O:O,Payroll_Mappings,'Operating Model'!$A57),IF($C57="Continue Last Month",K57," ")))),IF($A57&gt;0,INDEX(INDIRECT(L$1),MATCH($A57,Profit_and_Loss_Categories,0))," "))</f>
        <v xml:space="preserve"> </v>
      </c>
      <c r="M57" s="68" t="str">
        <f ca="1">IF(AND(M$5&gt;=Forecast_Start_Date,$A57&gt;0),IF($C57="Revenue Model",INDEX(Revenue_Forecast_Array,MATCH(M$5,Revenue_Model_Months,0)),IF($C57="% of Sales",$D57*M$16,IF($C57="Payroll Model",SUMIFS('Payroll Model'!P:P,Payroll_Mappings,'Operating Model'!$A57),IF($C57="Continue Last Month",L57," ")))),IF($A57&gt;0,INDEX(INDIRECT(M$1),MATCH($A57,Profit_and_Loss_Categories,0))," "))</f>
        <v xml:space="preserve"> </v>
      </c>
      <c r="N57" s="68" t="str">
        <f ca="1">IF(AND(N$5&gt;=Forecast_Start_Date,$A57&gt;0),IF($C57="Revenue Model",INDEX(Revenue_Forecast_Array,MATCH(N$5,Revenue_Model_Months,0)),IF($C57="% of Sales",$D57*N$16,IF($C57="Payroll Model",SUMIFS('Payroll Model'!Q:Q,Payroll_Mappings,'Operating Model'!$A57),IF($C57="Continue Last Month",M57," ")))),IF($A57&gt;0,INDEX(INDIRECT(N$1),MATCH($A57,Profit_and_Loss_Categories,0))," "))</f>
        <v xml:space="preserve"> </v>
      </c>
      <c r="O57" s="68" t="str">
        <f ca="1">IF(AND(O$5&gt;=Forecast_Start_Date,$A57&gt;0),IF($C57="Revenue Model",INDEX(Revenue_Forecast_Array,MATCH(O$5,Revenue_Model_Months,0)),IF($C57="% of Sales",$D57*O$16,IF($C57="Payroll Model",SUMIFS('Payroll Model'!R:R,Payroll_Mappings,'Operating Model'!$A57),IF($C57="Continue Last Month",N57," ")))),IF($A57&gt;0,INDEX(INDIRECT(O$1),MATCH($A57,Profit_and_Loss_Categories,0))," "))</f>
        <v xml:space="preserve"> </v>
      </c>
      <c r="P57" s="68" t="str">
        <f ca="1">IF(AND(P$5&gt;=Forecast_Start_Date,$A57&gt;0),IF($C57="Revenue Model",INDEX(Revenue_Forecast_Array,MATCH(P$5,Revenue_Model_Months,0)),IF($C57="% of Sales",$D57*P$16,IF($C57="Payroll Model",SUMIFS('Payroll Model'!S:S,Payroll_Mappings,'Operating Model'!$A57),IF($C57="Continue Last Month",O57," ")))),IF($A57&gt;0,INDEX(INDIRECT(P$1),MATCH($A57,Profit_and_Loss_Categories,0))," "))</f>
        <v xml:space="preserve"> </v>
      </c>
      <c r="Q57" s="68" t="str">
        <f ca="1">IF(AND(Q$5&gt;=Forecast_Start_Date,$A57&gt;0),IF($C57="Revenue Model",INDEX(Revenue_Forecast_Array,MATCH(Q$5,Revenue_Model_Months,0)),IF($C57="% of Sales",$D57*Q$16,IF($C57="Payroll Model",SUMIFS('Payroll Model'!T:T,Payroll_Mappings,'Operating Model'!$A57),IF($C57="Continue Last Month",P57," ")))),IF($A57&gt;0,INDEX(INDIRECT(Q$1),MATCH($A57,Profit_and_Loss_Categories,0))," "))</f>
        <v xml:space="preserve"> </v>
      </c>
    </row>
    <row r="58" spans="1:17" x14ac:dyDescent="0.2">
      <c r="A58" s="120"/>
      <c r="C58" s="66" t="s">
        <v>101</v>
      </c>
      <c r="D58" s="103"/>
      <c r="F58" s="73" t="str">
        <f ca="1">IF(AND(F$5&gt;=Forecast_Start_Date,$A58&gt;0),IF($C58="Revenue Model",INDEX(Revenue_Forecast_Array,MATCH(F$5,Revenue_Model_Months,0)),IF($C58="% of Sales",$D58*F$16,IF($C58="Payroll Model",SUMIFS('Payroll Model'!I:I,Payroll_Mappings,'Operating Model'!$A58),IF($C58="Continue Last Month",E58," ")))),IF($A58&gt;0,INDEX(INDIRECT(F$1),MATCH($A58,Profit_and_Loss_Categories,0))," "))</f>
        <v xml:space="preserve"> </v>
      </c>
      <c r="G58" s="73" t="str">
        <f ca="1">IF(AND(G$5&gt;=Forecast_Start_Date,$A58&gt;0),IF($C58="Revenue Model",INDEX(Revenue_Forecast_Array,MATCH(G$5,Revenue_Model_Months,0)),IF($C58="% of Sales",$D58*G$16,IF($C58="Payroll Model",SUMIFS('Payroll Model'!J:J,Payroll_Mappings,'Operating Model'!$A58),IF($C58="Continue Last Month",F58," ")))),IF($A58&gt;0,INDEX(INDIRECT(G$1),MATCH($A58,Profit_and_Loss_Categories,0))," "))</f>
        <v xml:space="preserve"> </v>
      </c>
      <c r="H58" s="73" t="str">
        <f ca="1">IF(AND(H$5&gt;=Forecast_Start_Date,$A58&gt;0),IF($C58="Revenue Model",INDEX(Revenue_Forecast_Array,MATCH(H$5,Revenue_Model_Months,0)),IF($C58="% of Sales",$D58*H$16,IF($C58="Payroll Model",SUMIFS('Payroll Model'!K:K,Payroll_Mappings,'Operating Model'!$A58),IF($C58="Continue Last Month",G58," ")))),IF($A58&gt;0,INDEX(INDIRECT(H$1),MATCH($A58,Profit_and_Loss_Categories,0))," "))</f>
        <v xml:space="preserve"> </v>
      </c>
      <c r="I58" s="68" t="str">
        <f ca="1">IF(AND(I$5&gt;=Forecast_Start_Date,$A58&gt;0),IF($C58="Revenue Model",INDEX(Revenue_Forecast_Array,MATCH(I$5,Revenue_Model_Months,0)),IF($C58="% of Sales",$D58*I$16,IF($C58="Payroll Model",SUMIFS('Payroll Model'!L:L,Payroll_Mappings,'Operating Model'!$A58),IF($C58="Continue Last Month",H58," ")))),IF($A58&gt;0,INDEX(INDIRECT(I$1),MATCH($A58,Profit_and_Loss_Categories,0))," "))</f>
        <v xml:space="preserve"> </v>
      </c>
      <c r="J58" s="68" t="str">
        <f ca="1">IF(AND(J$5&gt;=Forecast_Start_Date,$A58&gt;0),IF($C58="Revenue Model",INDEX(Revenue_Forecast_Array,MATCH(J$5,Revenue_Model_Months,0)),IF($C58="% of Sales",$D58*J$16,IF($C58="Payroll Model",SUMIFS('Payroll Model'!M:M,Payroll_Mappings,'Operating Model'!$A58),IF($C58="Continue Last Month",I58," ")))),IF($A58&gt;0,INDEX(INDIRECT(J$1),MATCH($A58,Profit_and_Loss_Categories,0))," "))</f>
        <v xml:space="preserve"> </v>
      </c>
      <c r="K58" s="68" t="str">
        <f ca="1">IF(AND(K$5&gt;=Forecast_Start_Date,$A58&gt;0),IF($C58="Revenue Model",INDEX(Revenue_Forecast_Array,MATCH(K$5,Revenue_Model_Months,0)),IF($C58="% of Sales",$D58*K$16,IF($C58="Payroll Model",SUMIFS('Payroll Model'!N:N,Payroll_Mappings,'Operating Model'!$A58),IF($C58="Continue Last Month",J58," ")))),IF($A58&gt;0,INDEX(INDIRECT(K$1),MATCH($A58,Profit_and_Loss_Categories,0))," "))</f>
        <v xml:space="preserve"> </v>
      </c>
      <c r="L58" s="68" t="str">
        <f ca="1">IF(AND(L$5&gt;=Forecast_Start_Date,$A58&gt;0),IF($C58="Revenue Model",INDEX(Revenue_Forecast_Array,MATCH(L$5,Revenue_Model_Months,0)),IF($C58="% of Sales",$D58*L$16,IF($C58="Payroll Model",SUMIFS('Payroll Model'!O:O,Payroll_Mappings,'Operating Model'!$A58),IF($C58="Continue Last Month",K58," ")))),IF($A58&gt;0,INDEX(INDIRECT(L$1),MATCH($A58,Profit_and_Loss_Categories,0))," "))</f>
        <v xml:space="preserve"> </v>
      </c>
      <c r="M58" s="68" t="str">
        <f ca="1">IF(AND(M$5&gt;=Forecast_Start_Date,$A58&gt;0),IF($C58="Revenue Model",INDEX(Revenue_Forecast_Array,MATCH(M$5,Revenue_Model_Months,0)),IF($C58="% of Sales",$D58*M$16,IF($C58="Payroll Model",SUMIFS('Payroll Model'!P:P,Payroll_Mappings,'Operating Model'!$A58),IF($C58="Continue Last Month",L58," ")))),IF($A58&gt;0,INDEX(INDIRECT(M$1),MATCH($A58,Profit_and_Loss_Categories,0))," "))</f>
        <v xml:space="preserve"> </v>
      </c>
      <c r="N58" s="68" t="str">
        <f ca="1">IF(AND(N$5&gt;=Forecast_Start_Date,$A58&gt;0),IF($C58="Revenue Model",INDEX(Revenue_Forecast_Array,MATCH(N$5,Revenue_Model_Months,0)),IF($C58="% of Sales",$D58*N$16,IF($C58="Payroll Model",SUMIFS('Payroll Model'!Q:Q,Payroll_Mappings,'Operating Model'!$A58),IF($C58="Continue Last Month",M58," ")))),IF($A58&gt;0,INDEX(INDIRECT(N$1),MATCH($A58,Profit_and_Loss_Categories,0))," "))</f>
        <v xml:space="preserve"> </v>
      </c>
      <c r="O58" s="68" t="str">
        <f ca="1">IF(AND(O$5&gt;=Forecast_Start_Date,$A58&gt;0),IF($C58="Revenue Model",INDEX(Revenue_Forecast_Array,MATCH(O$5,Revenue_Model_Months,0)),IF($C58="% of Sales",$D58*O$16,IF($C58="Payroll Model",SUMIFS('Payroll Model'!R:R,Payroll_Mappings,'Operating Model'!$A58),IF($C58="Continue Last Month",N58," ")))),IF($A58&gt;0,INDEX(INDIRECT(O$1),MATCH($A58,Profit_and_Loss_Categories,0))," "))</f>
        <v xml:space="preserve"> </v>
      </c>
      <c r="P58" s="68" t="str">
        <f ca="1">IF(AND(P$5&gt;=Forecast_Start_Date,$A58&gt;0),IF($C58="Revenue Model",INDEX(Revenue_Forecast_Array,MATCH(P$5,Revenue_Model_Months,0)),IF($C58="% of Sales",$D58*P$16,IF($C58="Payroll Model",SUMIFS('Payroll Model'!S:S,Payroll_Mappings,'Operating Model'!$A58),IF($C58="Continue Last Month",O58," ")))),IF($A58&gt;0,INDEX(INDIRECT(P$1),MATCH($A58,Profit_and_Loss_Categories,0))," "))</f>
        <v xml:space="preserve"> </v>
      </c>
      <c r="Q58" s="68" t="str">
        <f ca="1">IF(AND(Q$5&gt;=Forecast_Start_Date,$A58&gt;0),IF($C58="Revenue Model",INDEX(Revenue_Forecast_Array,MATCH(Q$5,Revenue_Model_Months,0)),IF($C58="% of Sales",$D58*Q$16,IF($C58="Payroll Model",SUMIFS('Payroll Model'!T:T,Payroll_Mappings,'Operating Model'!$A58),IF($C58="Continue Last Month",P58," ")))),IF($A58&gt;0,INDEX(INDIRECT(Q$1),MATCH($A58,Profit_and_Loss_Categories,0))," "))</f>
        <v xml:space="preserve"> </v>
      </c>
    </row>
    <row r="59" spans="1:17" x14ac:dyDescent="0.2">
      <c r="A59" s="120"/>
      <c r="C59" s="66" t="s">
        <v>101</v>
      </c>
      <c r="D59" s="103"/>
      <c r="F59" s="73" t="str">
        <f ca="1">IF(AND(F$5&gt;=Forecast_Start_Date,$A59&gt;0),IF($C59="Revenue Model",INDEX(Revenue_Forecast_Array,MATCH(F$5,Revenue_Model_Months,0)),IF($C59="% of Sales",$D59*F$16,IF($C59="Payroll Model",SUMIFS('Payroll Model'!I:I,Payroll_Mappings,'Operating Model'!$A59),IF($C59="Continue Last Month",E59," ")))),IF($A59&gt;0,INDEX(INDIRECT(F$1),MATCH($A59,Profit_and_Loss_Categories,0))," "))</f>
        <v xml:space="preserve"> </v>
      </c>
      <c r="G59" s="73" t="str">
        <f ca="1">IF(AND(G$5&gt;=Forecast_Start_Date,$A59&gt;0),IF($C59="Revenue Model",INDEX(Revenue_Forecast_Array,MATCH(G$5,Revenue_Model_Months,0)),IF($C59="% of Sales",$D59*G$16,IF($C59="Payroll Model",SUMIFS('Payroll Model'!J:J,Payroll_Mappings,'Operating Model'!$A59),IF($C59="Continue Last Month",F59," ")))),IF($A59&gt;0,INDEX(INDIRECT(G$1),MATCH($A59,Profit_and_Loss_Categories,0))," "))</f>
        <v xml:space="preserve"> </v>
      </c>
      <c r="H59" s="73" t="str">
        <f ca="1">IF(AND(H$5&gt;=Forecast_Start_Date,$A59&gt;0),IF($C59="Revenue Model",INDEX(Revenue_Forecast_Array,MATCH(H$5,Revenue_Model_Months,0)),IF($C59="% of Sales",$D59*H$16,IF($C59="Payroll Model",SUMIFS('Payroll Model'!K:K,Payroll_Mappings,'Operating Model'!$A59),IF($C59="Continue Last Month",G59," ")))),IF($A59&gt;0,INDEX(INDIRECT(H$1),MATCH($A59,Profit_and_Loss_Categories,0))," "))</f>
        <v xml:space="preserve"> </v>
      </c>
      <c r="I59" s="68" t="str">
        <f ca="1">IF(AND(I$5&gt;=Forecast_Start_Date,$A59&gt;0),IF($C59="Revenue Model",INDEX(Revenue_Forecast_Array,MATCH(I$5,Revenue_Model_Months,0)),IF($C59="% of Sales",$D59*I$16,IF($C59="Payroll Model",SUMIFS('Payroll Model'!L:L,Payroll_Mappings,'Operating Model'!$A59),IF($C59="Continue Last Month",H59," ")))),IF($A59&gt;0,INDEX(INDIRECT(I$1),MATCH($A59,Profit_and_Loss_Categories,0))," "))</f>
        <v xml:space="preserve"> </v>
      </c>
      <c r="J59" s="68" t="str">
        <f ca="1">IF(AND(J$5&gt;=Forecast_Start_Date,$A59&gt;0),IF($C59="Revenue Model",INDEX(Revenue_Forecast_Array,MATCH(J$5,Revenue_Model_Months,0)),IF($C59="% of Sales",$D59*J$16,IF($C59="Payroll Model",SUMIFS('Payroll Model'!M:M,Payroll_Mappings,'Operating Model'!$A59),IF($C59="Continue Last Month",I59," ")))),IF($A59&gt;0,INDEX(INDIRECT(J$1),MATCH($A59,Profit_and_Loss_Categories,0))," "))</f>
        <v xml:space="preserve"> </v>
      </c>
      <c r="K59" s="68" t="str">
        <f ca="1">IF(AND(K$5&gt;=Forecast_Start_Date,$A59&gt;0),IF($C59="Revenue Model",INDEX(Revenue_Forecast_Array,MATCH(K$5,Revenue_Model_Months,0)),IF($C59="% of Sales",$D59*K$16,IF($C59="Payroll Model",SUMIFS('Payroll Model'!N:N,Payroll_Mappings,'Operating Model'!$A59),IF($C59="Continue Last Month",J59," ")))),IF($A59&gt;0,INDEX(INDIRECT(K$1),MATCH($A59,Profit_and_Loss_Categories,0))," "))</f>
        <v xml:space="preserve"> </v>
      </c>
      <c r="L59" s="68" t="str">
        <f ca="1">IF(AND(L$5&gt;=Forecast_Start_Date,$A59&gt;0),IF($C59="Revenue Model",INDEX(Revenue_Forecast_Array,MATCH(L$5,Revenue_Model_Months,0)),IF($C59="% of Sales",$D59*L$16,IF($C59="Payroll Model",SUMIFS('Payroll Model'!O:O,Payroll_Mappings,'Operating Model'!$A59),IF($C59="Continue Last Month",K59," ")))),IF($A59&gt;0,INDEX(INDIRECT(L$1),MATCH($A59,Profit_and_Loss_Categories,0))," "))</f>
        <v xml:space="preserve"> </v>
      </c>
      <c r="M59" s="68" t="str">
        <f ca="1">IF(AND(M$5&gt;=Forecast_Start_Date,$A59&gt;0),IF($C59="Revenue Model",INDEX(Revenue_Forecast_Array,MATCH(M$5,Revenue_Model_Months,0)),IF($C59="% of Sales",$D59*M$16,IF($C59="Payroll Model",SUMIFS('Payroll Model'!P:P,Payroll_Mappings,'Operating Model'!$A59),IF($C59="Continue Last Month",L59," ")))),IF($A59&gt;0,INDEX(INDIRECT(M$1),MATCH($A59,Profit_and_Loss_Categories,0))," "))</f>
        <v xml:space="preserve"> </v>
      </c>
      <c r="N59" s="68" t="str">
        <f ca="1">IF(AND(N$5&gt;=Forecast_Start_Date,$A59&gt;0),IF($C59="Revenue Model",INDEX(Revenue_Forecast_Array,MATCH(N$5,Revenue_Model_Months,0)),IF($C59="% of Sales",$D59*N$16,IF($C59="Payroll Model",SUMIFS('Payroll Model'!Q:Q,Payroll_Mappings,'Operating Model'!$A59),IF($C59="Continue Last Month",M59," ")))),IF($A59&gt;0,INDEX(INDIRECT(N$1),MATCH($A59,Profit_and_Loss_Categories,0))," "))</f>
        <v xml:space="preserve"> </v>
      </c>
      <c r="O59" s="68" t="str">
        <f ca="1">IF(AND(O$5&gt;=Forecast_Start_Date,$A59&gt;0),IF($C59="Revenue Model",INDEX(Revenue_Forecast_Array,MATCH(O$5,Revenue_Model_Months,0)),IF($C59="% of Sales",$D59*O$16,IF($C59="Payroll Model",SUMIFS('Payroll Model'!R:R,Payroll_Mappings,'Operating Model'!$A59),IF($C59="Continue Last Month",N59," ")))),IF($A59&gt;0,INDEX(INDIRECT(O$1),MATCH($A59,Profit_and_Loss_Categories,0))," "))</f>
        <v xml:space="preserve"> </v>
      </c>
      <c r="P59" s="68" t="str">
        <f ca="1">IF(AND(P$5&gt;=Forecast_Start_Date,$A59&gt;0),IF($C59="Revenue Model",INDEX(Revenue_Forecast_Array,MATCH(P$5,Revenue_Model_Months,0)),IF($C59="% of Sales",$D59*P$16,IF($C59="Payroll Model",SUMIFS('Payroll Model'!S:S,Payroll_Mappings,'Operating Model'!$A59),IF($C59="Continue Last Month",O59," ")))),IF($A59&gt;0,INDEX(INDIRECT(P$1),MATCH($A59,Profit_and_Loss_Categories,0))," "))</f>
        <v xml:space="preserve"> </v>
      </c>
      <c r="Q59" s="68" t="str">
        <f ca="1">IF(AND(Q$5&gt;=Forecast_Start_Date,$A59&gt;0),IF($C59="Revenue Model",INDEX(Revenue_Forecast_Array,MATCH(Q$5,Revenue_Model_Months,0)),IF($C59="% of Sales",$D59*Q$16,IF($C59="Payroll Model",SUMIFS('Payroll Model'!T:T,Payroll_Mappings,'Operating Model'!$A59),IF($C59="Continue Last Month",P59," ")))),IF($A59&gt;0,INDEX(INDIRECT(Q$1),MATCH($A59,Profit_and_Loss_Categories,0))," "))</f>
        <v xml:space="preserve"> </v>
      </c>
    </row>
    <row r="60" spans="1:17" x14ac:dyDescent="0.2">
      <c r="A60" s="120"/>
      <c r="C60" s="66" t="s">
        <v>101</v>
      </c>
      <c r="D60" s="103"/>
      <c r="F60" s="73" t="str">
        <f ca="1">IF(AND(F$5&gt;=Forecast_Start_Date,$A60&gt;0),IF($C60="Revenue Model",INDEX(Revenue_Forecast_Array,MATCH(F$5,Revenue_Model_Months,0)),IF($C60="% of Sales",$D60*F$16,IF($C60="Payroll Model",SUMIFS('Payroll Model'!I:I,Payroll_Mappings,'Operating Model'!$A60),IF($C60="Continue Last Month",E60," ")))),IF($A60&gt;0,INDEX(INDIRECT(F$1),MATCH($A60,Profit_and_Loss_Categories,0))," "))</f>
        <v xml:space="preserve"> </v>
      </c>
      <c r="G60" s="73" t="str">
        <f ca="1">IF(AND(G$5&gt;=Forecast_Start_Date,$A60&gt;0),IF($C60="Revenue Model",INDEX(Revenue_Forecast_Array,MATCH(G$5,Revenue_Model_Months,0)),IF($C60="% of Sales",$D60*G$16,IF($C60="Payroll Model",SUMIFS('Payroll Model'!J:J,Payroll_Mappings,'Operating Model'!$A60),IF($C60="Continue Last Month",F60," ")))),IF($A60&gt;0,INDEX(INDIRECT(G$1),MATCH($A60,Profit_and_Loss_Categories,0))," "))</f>
        <v xml:space="preserve"> </v>
      </c>
      <c r="H60" s="73" t="str">
        <f ca="1">IF(AND(H$5&gt;=Forecast_Start_Date,$A60&gt;0),IF($C60="Revenue Model",INDEX(Revenue_Forecast_Array,MATCH(H$5,Revenue_Model_Months,0)),IF($C60="% of Sales",$D60*H$16,IF($C60="Payroll Model",SUMIFS('Payroll Model'!K:K,Payroll_Mappings,'Operating Model'!$A60),IF($C60="Continue Last Month",G60," ")))),IF($A60&gt;0,INDEX(INDIRECT(H$1),MATCH($A60,Profit_and_Loss_Categories,0))," "))</f>
        <v xml:space="preserve"> </v>
      </c>
      <c r="I60" s="68" t="str">
        <f ca="1">IF(AND(I$5&gt;=Forecast_Start_Date,$A60&gt;0),IF($C60="Revenue Model",INDEX(Revenue_Forecast_Array,MATCH(I$5,Revenue_Model_Months,0)),IF($C60="% of Sales",$D60*I$16,IF($C60="Payroll Model",SUMIFS('Payroll Model'!L:L,Payroll_Mappings,'Operating Model'!$A60),IF($C60="Continue Last Month",H60," ")))),IF($A60&gt;0,INDEX(INDIRECT(I$1),MATCH($A60,Profit_and_Loss_Categories,0))," "))</f>
        <v xml:space="preserve"> </v>
      </c>
      <c r="J60" s="68" t="str">
        <f ca="1">IF(AND(J$5&gt;=Forecast_Start_Date,$A60&gt;0),IF($C60="Revenue Model",INDEX(Revenue_Forecast_Array,MATCH(J$5,Revenue_Model_Months,0)),IF($C60="% of Sales",$D60*J$16,IF($C60="Payroll Model",SUMIFS('Payroll Model'!M:M,Payroll_Mappings,'Operating Model'!$A60),IF($C60="Continue Last Month",I60," ")))),IF($A60&gt;0,INDEX(INDIRECT(J$1),MATCH($A60,Profit_and_Loss_Categories,0))," "))</f>
        <v xml:space="preserve"> </v>
      </c>
      <c r="K60" s="68" t="str">
        <f ca="1">IF(AND(K$5&gt;=Forecast_Start_Date,$A60&gt;0),IF($C60="Revenue Model",INDEX(Revenue_Forecast_Array,MATCH(K$5,Revenue_Model_Months,0)),IF($C60="% of Sales",$D60*K$16,IF($C60="Payroll Model",SUMIFS('Payroll Model'!N:N,Payroll_Mappings,'Operating Model'!$A60),IF($C60="Continue Last Month",J60," ")))),IF($A60&gt;0,INDEX(INDIRECT(K$1),MATCH($A60,Profit_and_Loss_Categories,0))," "))</f>
        <v xml:space="preserve"> </v>
      </c>
      <c r="L60" s="68" t="str">
        <f ca="1">IF(AND(L$5&gt;=Forecast_Start_Date,$A60&gt;0),IF($C60="Revenue Model",INDEX(Revenue_Forecast_Array,MATCH(L$5,Revenue_Model_Months,0)),IF($C60="% of Sales",$D60*L$16,IF($C60="Payroll Model",SUMIFS('Payroll Model'!O:O,Payroll_Mappings,'Operating Model'!$A60),IF($C60="Continue Last Month",K60," ")))),IF($A60&gt;0,INDEX(INDIRECT(L$1),MATCH($A60,Profit_and_Loss_Categories,0))," "))</f>
        <v xml:space="preserve"> </v>
      </c>
      <c r="M60" s="68" t="str">
        <f ca="1">IF(AND(M$5&gt;=Forecast_Start_Date,$A60&gt;0),IF($C60="Revenue Model",INDEX(Revenue_Forecast_Array,MATCH(M$5,Revenue_Model_Months,0)),IF($C60="% of Sales",$D60*M$16,IF($C60="Payroll Model",SUMIFS('Payroll Model'!P:P,Payroll_Mappings,'Operating Model'!$A60),IF($C60="Continue Last Month",L60," ")))),IF($A60&gt;0,INDEX(INDIRECT(M$1),MATCH($A60,Profit_and_Loss_Categories,0))," "))</f>
        <v xml:space="preserve"> </v>
      </c>
      <c r="N60" s="68" t="str">
        <f ca="1">IF(AND(N$5&gt;=Forecast_Start_Date,$A60&gt;0),IF($C60="Revenue Model",INDEX(Revenue_Forecast_Array,MATCH(N$5,Revenue_Model_Months,0)),IF($C60="% of Sales",$D60*N$16,IF($C60="Payroll Model",SUMIFS('Payroll Model'!Q:Q,Payroll_Mappings,'Operating Model'!$A60),IF($C60="Continue Last Month",M60," ")))),IF($A60&gt;0,INDEX(INDIRECT(N$1),MATCH($A60,Profit_and_Loss_Categories,0))," "))</f>
        <v xml:space="preserve"> </v>
      </c>
      <c r="O60" s="68" t="str">
        <f ca="1">IF(AND(O$5&gt;=Forecast_Start_Date,$A60&gt;0),IF($C60="Revenue Model",INDEX(Revenue_Forecast_Array,MATCH(O$5,Revenue_Model_Months,0)),IF($C60="% of Sales",$D60*O$16,IF($C60="Payroll Model",SUMIFS('Payroll Model'!R:R,Payroll_Mappings,'Operating Model'!$A60),IF($C60="Continue Last Month",N60," ")))),IF($A60&gt;0,INDEX(INDIRECT(O$1),MATCH($A60,Profit_and_Loss_Categories,0))," "))</f>
        <v xml:space="preserve"> </v>
      </c>
      <c r="P60" s="68" t="str">
        <f ca="1">IF(AND(P$5&gt;=Forecast_Start_Date,$A60&gt;0),IF($C60="Revenue Model",INDEX(Revenue_Forecast_Array,MATCH(P$5,Revenue_Model_Months,0)),IF($C60="% of Sales",$D60*P$16,IF($C60="Payroll Model",SUMIFS('Payroll Model'!S:S,Payroll_Mappings,'Operating Model'!$A60),IF($C60="Continue Last Month",O60," ")))),IF($A60&gt;0,INDEX(INDIRECT(P$1),MATCH($A60,Profit_and_Loss_Categories,0))," "))</f>
        <v xml:space="preserve"> </v>
      </c>
      <c r="Q60" s="68" t="str">
        <f ca="1">IF(AND(Q$5&gt;=Forecast_Start_Date,$A60&gt;0),IF($C60="Revenue Model",INDEX(Revenue_Forecast_Array,MATCH(Q$5,Revenue_Model_Months,0)),IF($C60="% of Sales",$D60*Q$16,IF($C60="Payroll Model",SUMIFS('Payroll Model'!T:T,Payroll_Mappings,'Operating Model'!$A60),IF($C60="Continue Last Month",P60," ")))),IF($A60&gt;0,INDEX(INDIRECT(Q$1),MATCH($A60,Profit_and_Loss_Categories,0))," "))</f>
        <v xml:space="preserve"> </v>
      </c>
    </row>
    <row r="61" spans="1:17" x14ac:dyDescent="0.2">
      <c r="A61" s="120"/>
      <c r="C61" s="66" t="s">
        <v>101</v>
      </c>
      <c r="D61" s="103"/>
      <c r="F61" s="73" t="str">
        <f ca="1">IF(AND(F$5&gt;=Forecast_Start_Date,$A61&gt;0),IF($C61="Revenue Model",INDEX(Revenue_Forecast_Array,MATCH(F$5,Revenue_Model_Months,0)),IF($C61="% of Sales",$D61*F$16,IF($C61="Payroll Model",SUMIFS('Payroll Model'!I:I,Payroll_Mappings,'Operating Model'!$A61),IF($C61="Continue Last Month",E61," ")))),IF($A61&gt;0,INDEX(INDIRECT(F$1),MATCH($A61,Profit_and_Loss_Categories,0))," "))</f>
        <v xml:space="preserve"> </v>
      </c>
      <c r="G61" s="73" t="str">
        <f ca="1">IF(AND(G$5&gt;=Forecast_Start_Date,$A61&gt;0),IF($C61="Revenue Model",INDEX(Revenue_Forecast_Array,MATCH(G$5,Revenue_Model_Months,0)),IF($C61="% of Sales",$D61*G$16,IF($C61="Payroll Model",SUMIFS('Payroll Model'!J:J,Payroll_Mappings,'Operating Model'!$A61),IF($C61="Continue Last Month",F61," ")))),IF($A61&gt;0,INDEX(INDIRECT(G$1),MATCH($A61,Profit_and_Loss_Categories,0))," "))</f>
        <v xml:space="preserve"> </v>
      </c>
      <c r="H61" s="73" t="str">
        <f ca="1">IF(AND(H$5&gt;=Forecast_Start_Date,$A61&gt;0),IF($C61="Revenue Model",INDEX(Revenue_Forecast_Array,MATCH(H$5,Revenue_Model_Months,0)),IF($C61="% of Sales",$D61*H$16,IF($C61="Payroll Model",SUMIFS('Payroll Model'!K:K,Payroll_Mappings,'Operating Model'!$A61),IF($C61="Continue Last Month",G61," ")))),IF($A61&gt;0,INDEX(INDIRECT(H$1),MATCH($A61,Profit_and_Loss_Categories,0))," "))</f>
        <v xml:space="preserve"> </v>
      </c>
      <c r="I61" s="68" t="str">
        <f ca="1">IF(AND(I$5&gt;=Forecast_Start_Date,$A61&gt;0),IF($C61="Revenue Model",INDEX(Revenue_Forecast_Array,MATCH(I$5,Revenue_Model_Months,0)),IF($C61="% of Sales",$D61*I$16,IF($C61="Payroll Model",SUMIFS('Payroll Model'!L:L,Payroll_Mappings,'Operating Model'!$A61),IF($C61="Continue Last Month",H61," ")))),IF($A61&gt;0,INDEX(INDIRECT(I$1),MATCH($A61,Profit_and_Loss_Categories,0))," "))</f>
        <v xml:space="preserve"> </v>
      </c>
      <c r="J61" s="68" t="str">
        <f ca="1">IF(AND(J$5&gt;=Forecast_Start_Date,$A61&gt;0),IF($C61="Revenue Model",INDEX(Revenue_Forecast_Array,MATCH(J$5,Revenue_Model_Months,0)),IF($C61="% of Sales",$D61*J$16,IF($C61="Payroll Model",SUMIFS('Payroll Model'!M:M,Payroll_Mappings,'Operating Model'!$A61),IF($C61="Continue Last Month",I61," ")))),IF($A61&gt;0,INDEX(INDIRECT(J$1),MATCH($A61,Profit_and_Loss_Categories,0))," "))</f>
        <v xml:space="preserve"> </v>
      </c>
      <c r="K61" s="68" t="str">
        <f ca="1">IF(AND(K$5&gt;=Forecast_Start_Date,$A61&gt;0),IF($C61="Revenue Model",INDEX(Revenue_Forecast_Array,MATCH(K$5,Revenue_Model_Months,0)),IF($C61="% of Sales",$D61*K$16,IF($C61="Payroll Model",SUMIFS('Payroll Model'!N:N,Payroll_Mappings,'Operating Model'!$A61),IF($C61="Continue Last Month",J61," ")))),IF($A61&gt;0,INDEX(INDIRECT(K$1),MATCH($A61,Profit_and_Loss_Categories,0))," "))</f>
        <v xml:space="preserve"> </v>
      </c>
      <c r="L61" s="68" t="str">
        <f ca="1">IF(AND(L$5&gt;=Forecast_Start_Date,$A61&gt;0),IF($C61="Revenue Model",INDEX(Revenue_Forecast_Array,MATCH(L$5,Revenue_Model_Months,0)),IF($C61="% of Sales",$D61*L$16,IF($C61="Payroll Model",SUMIFS('Payroll Model'!O:O,Payroll_Mappings,'Operating Model'!$A61),IF($C61="Continue Last Month",K61," ")))),IF($A61&gt;0,INDEX(INDIRECT(L$1),MATCH($A61,Profit_and_Loss_Categories,0))," "))</f>
        <v xml:space="preserve"> </v>
      </c>
      <c r="M61" s="68" t="str">
        <f ca="1">IF(AND(M$5&gt;=Forecast_Start_Date,$A61&gt;0),IF($C61="Revenue Model",INDEX(Revenue_Forecast_Array,MATCH(M$5,Revenue_Model_Months,0)),IF($C61="% of Sales",$D61*M$16,IF($C61="Payroll Model",SUMIFS('Payroll Model'!P:P,Payroll_Mappings,'Operating Model'!$A61),IF($C61="Continue Last Month",L61," ")))),IF($A61&gt;0,INDEX(INDIRECT(M$1),MATCH($A61,Profit_and_Loss_Categories,0))," "))</f>
        <v xml:space="preserve"> </v>
      </c>
      <c r="N61" s="68" t="str">
        <f ca="1">IF(AND(N$5&gt;=Forecast_Start_Date,$A61&gt;0),IF($C61="Revenue Model",INDEX(Revenue_Forecast_Array,MATCH(N$5,Revenue_Model_Months,0)),IF($C61="% of Sales",$D61*N$16,IF($C61="Payroll Model",SUMIFS('Payroll Model'!Q:Q,Payroll_Mappings,'Operating Model'!$A61),IF($C61="Continue Last Month",M61," ")))),IF($A61&gt;0,INDEX(INDIRECT(N$1),MATCH($A61,Profit_and_Loss_Categories,0))," "))</f>
        <v xml:space="preserve"> </v>
      </c>
      <c r="O61" s="68" t="str">
        <f ca="1">IF(AND(O$5&gt;=Forecast_Start_Date,$A61&gt;0),IF($C61="Revenue Model",INDEX(Revenue_Forecast_Array,MATCH(O$5,Revenue_Model_Months,0)),IF($C61="% of Sales",$D61*O$16,IF($C61="Payroll Model",SUMIFS('Payroll Model'!R:R,Payroll_Mappings,'Operating Model'!$A61),IF($C61="Continue Last Month",N61," ")))),IF($A61&gt;0,INDEX(INDIRECT(O$1),MATCH($A61,Profit_and_Loss_Categories,0))," "))</f>
        <v xml:space="preserve"> </v>
      </c>
      <c r="P61" s="68" t="str">
        <f ca="1">IF(AND(P$5&gt;=Forecast_Start_Date,$A61&gt;0),IF($C61="Revenue Model",INDEX(Revenue_Forecast_Array,MATCH(P$5,Revenue_Model_Months,0)),IF($C61="% of Sales",$D61*P$16,IF($C61="Payroll Model",SUMIFS('Payroll Model'!S:S,Payroll_Mappings,'Operating Model'!$A61),IF($C61="Continue Last Month",O61," ")))),IF($A61&gt;0,INDEX(INDIRECT(P$1),MATCH($A61,Profit_and_Loss_Categories,0))," "))</f>
        <v xml:space="preserve"> </v>
      </c>
      <c r="Q61" s="68" t="str">
        <f ca="1">IF(AND(Q$5&gt;=Forecast_Start_Date,$A61&gt;0),IF($C61="Revenue Model",INDEX(Revenue_Forecast_Array,MATCH(Q$5,Revenue_Model_Months,0)),IF($C61="% of Sales",$D61*Q$16,IF($C61="Payroll Model",SUMIFS('Payroll Model'!T:T,Payroll_Mappings,'Operating Model'!$A61),IF($C61="Continue Last Month",P61," ")))),IF($A61&gt;0,INDEX(INDIRECT(Q$1),MATCH($A61,Profit_and_Loss_Categories,0))," "))</f>
        <v xml:space="preserve"> </v>
      </c>
    </row>
    <row r="62" spans="1:17" x14ac:dyDescent="0.2">
      <c r="A62" s="120"/>
      <c r="C62" s="66" t="s">
        <v>101</v>
      </c>
      <c r="D62" s="103"/>
      <c r="F62" s="73" t="str">
        <f ca="1">IF(AND(F$5&gt;=Forecast_Start_Date,$A62&gt;0),IF($C62="Revenue Model",INDEX(Revenue_Forecast_Array,MATCH(F$5,Revenue_Model_Months,0)),IF($C62="% of Sales",$D62*F$16,IF($C62="Payroll Model",SUMIFS('Payroll Model'!I:I,Payroll_Mappings,'Operating Model'!$A62),IF($C62="Continue Last Month",E62," ")))),IF($A62&gt;0,INDEX(INDIRECT(F$1),MATCH($A62,Profit_and_Loss_Categories,0))," "))</f>
        <v xml:space="preserve"> </v>
      </c>
      <c r="G62" s="73" t="str">
        <f ca="1">IF(AND(G$5&gt;=Forecast_Start_Date,$A62&gt;0),IF($C62="Revenue Model",INDEX(Revenue_Forecast_Array,MATCH(G$5,Revenue_Model_Months,0)),IF($C62="% of Sales",$D62*G$16,IF($C62="Payroll Model",SUMIFS('Payroll Model'!J:J,Payroll_Mappings,'Operating Model'!$A62),IF($C62="Continue Last Month",F62," ")))),IF($A62&gt;0,INDEX(INDIRECT(G$1),MATCH($A62,Profit_and_Loss_Categories,0))," "))</f>
        <v xml:space="preserve"> </v>
      </c>
      <c r="H62" s="73" t="str">
        <f ca="1">IF(AND(H$5&gt;=Forecast_Start_Date,$A62&gt;0),IF($C62="Revenue Model",INDEX(Revenue_Forecast_Array,MATCH(H$5,Revenue_Model_Months,0)),IF($C62="% of Sales",$D62*H$16,IF($C62="Payroll Model",SUMIFS('Payroll Model'!K:K,Payroll_Mappings,'Operating Model'!$A62),IF($C62="Continue Last Month",G62," ")))),IF($A62&gt;0,INDEX(INDIRECT(H$1),MATCH($A62,Profit_and_Loss_Categories,0))," "))</f>
        <v xml:space="preserve"> </v>
      </c>
      <c r="I62" s="68" t="str">
        <f ca="1">IF(AND(I$5&gt;=Forecast_Start_Date,$A62&gt;0),IF($C62="Revenue Model",INDEX(Revenue_Forecast_Array,MATCH(I$5,Revenue_Model_Months,0)),IF($C62="% of Sales",$D62*I$16,IF($C62="Payroll Model",SUMIFS('Payroll Model'!L:L,Payroll_Mappings,'Operating Model'!$A62),IF($C62="Continue Last Month",H62," ")))),IF($A62&gt;0,INDEX(INDIRECT(I$1),MATCH($A62,Profit_and_Loss_Categories,0))," "))</f>
        <v xml:space="preserve"> </v>
      </c>
      <c r="J62" s="68" t="str">
        <f ca="1">IF(AND(J$5&gt;=Forecast_Start_Date,$A62&gt;0),IF($C62="Revenue Model",INDEX(Revenue_Forecast_Array,MATCH(J$5,Revenue_Model_Months,0)),IF($C62="% of Sales",$D62*J$16,IF($C62="Payroll Model",SUMIFS('Payroll Model'!M:M,Payroll_Mappings,'Operating Model'!$A62),IF($C62="Continue Last Month",I62," ")))),IF($A62&gt;0,INDEX(INDIRECT(J$1),MATCH($A62,Profit_and_Loss_Categories,0))," "))</f>
        <v xml:space="preserve"> </v>
      </c>
      <c r="K62" s="68" t="str">
        <f ca="1">IF(AND(K$5&gt;=Forecast_Start_Date,$A62&gt;0),IF($C62="Revenue Model",INDEX(Revenue_Forecast_Array,MATCH(K$5,Revenue_Model_Months,0)),IF($C62="% of Sales",$D62*K$16,IF($C62="Payroll Model",SUMIFS('Payroll Model'!N:N,Payroll_Mappings,'Operating Model'!$A62),IF($C62="Continue Last Month",J62," ")))),IF($A62&gt;0,INDEX(INDIRECT(K$1),MATCH($A62,Profit_and_Loss_Categories,0))," "))</f>
        <v xml:space="preserve"> </v>
      </c>
      <c r="L62" s="68" t="str">
        <f ca="1">IF(AND(L$5&gt;=Forecast_Start_Date,$A62&gt;0),IF($C62="Revenue Model",INDEX(Revenue_Forecast_Array,MATCH(L$5,Revenue_Model_Months,0)),IF($C62="% of Sales",$D62*L$16,IF($C62="Payroll Model",SUMIFS('Payroll Model'!O:O,Payroll_Mappings,'Operating Model'!$A62),IF($C62="Continue Last Month",K62," ")))),IF($A62&gt;0,INDEX(INDIRECT(L$1),MATCH($A62,Profit_and_Loss_Categories,0))," "))</f>
        <v xml:space="preserve"> </v>
      </c>
      <c r="M62" s="68" t="str">
        <f ca="1">IF(AND(M$5&gt;=Forecast_Start_Date,$A62&gt;0),IF($C62="Revenue Model",INDEX(Revenue_Forecast_Array,MATCH(M$5,Revenue_Model_Months,0)),IF($C62="% of Sales",$D62*M$16,IF($C62="Payroll Model",SUMIFS('Payroll Model'!P:P,Payroll_Mappings,'Operating Model'!$A62),IF($C62="Continue Last Month",L62," ")))),IF($A62&gt;0,INDEX(INDIRECT(M$1),MATCH($A62,Profit_and_Loss_Categories,0))," "))</f>
        <v xml:space="preserve"> </v>
      </c>
      <c r="N62" s="68" t="str">
        <f ca="1">IF(AND(N$5&gt;=Forecast_Start_Date,$A62&gt;0),IF($C62="Revenue Model",INDEX(Revenue_Forecast_Array,MATCH(N$5,Revenue_Model_Months,0)),IF($C62="% of Sales",$D62*N$16,IF($C62="Payroll Model",SUMIFS('Payroll Model'!Q:Q,Payroll_Mappings,'Operating Model'!$A62),IF($C62="Continue Last Month",M62," ")))),IF($A62&gt;0,INDEX(INDIRECT(N$1),MATCH($A62,Profit_and_Loss_Categories,0))," "))</f>
        <v xml:space="preserve"> </v>
      </c>
      <c r="O62" s="68" t="str">
        <f ca="1">IF(AND(O$5&gt;=Forecast_Start_Date,$A62&gt;0),IF($C62="Revenue Model",INDEX(Revenue_Forecast_Array,MATCH(O$5,Revenue_Model_Months,0)),IF($C62="% of Sales",$D62*O$16,IF($C62="Payroll Model",SUMIFS('Payroll Model'!R:R,Payroll_Mappings,'Operating Model'!$A62),IF($C62="Continue Last Month",N62," ")))),IF($A62&gt;0,INDEX(INDIRECT(O$1),MATCH($A62,Profit_and_Loss_Categories,0))," "))</f>
        <v xml:space="preserve"> </v>
      </c>
      <c r="P62" s="68" t="str">
        <f ca="1">IF(AND(P$5&gt;=Forecast_Start_Date,$A62&gt;0),IF($C62="Revenue Model",INDEX(Revenue_Forecast_Array,MATCH(P$5,Revenue_Model_Months,0)),IF($C62="% of Sales",$D62*P$16,IF($C62="Payroll Model",SUMIFS('Payroll Model'!S:S,Payroll_Mappings,'Operating Model'!$A62),IF($C62="Continue Last Month",O62," ")))),IF($A62&gt;0,INDEX(INDIRECT(P$1),MATCH($A62,Profit_and_Loss_Categories,0))," "))</f>
        <v xml:space="preserve"> </v>
      </c>
      <c r="Q62" s="68" t="str">
        <f ca="1">IF(AND(Q$5&gt;=Forecast_Start_Date,$A62&gt;0),IF($C62="Revenue Model",INDEX(Revenue_Forecast_Array,MATCH(Q$5,Revenue_Model_Months,0)),IF($C62="% of Sales",$D62*Q$16,IF($C62="Payroll Model",SUMIFS('Payroll Model'!T:T,Payroll_Mappings,'Operating Model'!$A62),IF($C62="Continue Last Month",P62," ")))),IF($A62&gt;0,INDEX(INDIRECT(Q$1),MATCH($A62,Profit_and_Loss_Categories,0))," "))</f>
        <v xml:space="preserve"> </v>
      </c>
    </row>
    <row r="63" spans="1:17" x14ac:dyDescent="0.2">
      <c r="A63" s="120"/>
      <c r="C63" s="66" t="s">
        <v>101</v>
      </c>
      <c r="D63" s="103"/>
      <c r="F63" s="73" t="str">
        <f ca="1">IF(AND(F$5&gt;=Forecast_Start_Date,$A63&gt;0),IF($C63="Revenue Model",INDEX(Revenue_Forecast_Array,MATCH(F$5,Revenue_Model_Months,0)),IF($C63="% of Sales",$D63*F$16,IF($C63="Payroll Model",SUMIFS('Payroll Model'!I:I,Payroll_Mappings,'Operating Model'!$A63),IF($C63="Continue Last Month",E63," ")))),IF($A63&gt;0,INDEX(INDIRECT(F$1),MATCH($A63,Profit_and_Loss_Categories,0))," "))</f>
        <v xml:space="preserve"> </v>
      </c>
      <c r="G63" s="73" t="str">
        <f ca="1">IF(AND(G$5&gt;=Forecast_Start_Date,$A63&gt;0),IF($C63="Revenue Model",INDEX(Revenue_Forecast_Array,MATCH(G$5,Revenue_Model_Months,0)),IF($C63="% of Sales",$D63*G$16,IF($C63="Payroll Model",SUMIFS('Payroll Model'!J:J,Payroll_Mappings,'Operating Model'!$A63),IF($C63="Continue Last Month",F63," ")))),IF($A63&gt;0,INDEX(INDIRECT(G$1),MATCH($A63,Profit_and_Loss_Categories,0))," "))</f>
        <v xml:space="preserve"> </v>
      </c>
      <c r="H63" s="73" t="str">
        <f ca="1">IF(AND(H$5&gt;=Forecast_Start_Date,$A63&gt;0),IF($C63="Revenue Model",INDEX(Revenue_Forecast_Array,MATCH(H$5,Revenue_Model_Months,0)),IF($C63="% of Sales",$D63*H$16,IF($C63="Payroll Model",SUMIFS('Payroll Model'!K:K,Payroll_Mappings,'Operating Model'!$A63),IF($C63="Continue Last Month",G63," ")))),IF($A63&gt;0,INDEX(INDIRECT(H$1),MATCH($A63,Profit_and_Loss_Categories,0))," "))</f>
        <v xml:space="preserve"> </v>
      </c>
      <c r="I63" s="68" t="str">
        <f ca="1">IF(AND(I$5&gt;=Forecast_Start_Date,$A63&gt;0),IF($C63="Revenue Model",INDEX(Revenue_Forecast_Array,MATCH(I$5,Revenue_Model_Months,0)),IF($C63="% of Sales",$D63*I$16,IF($C63="Payroll Model",SUMIFS('Payroll Model'!L:L,Payroll_Mappings,'Operating Model'!$A63),IF($C63="Continue Last Month",H63," ")))),IF($A63&gt;0,INDEX(INDIRECT(I$1),MATCH($A63,Profit_and_Loss_Categories,0))," "))</f>
        <v xml:space="preserve"> </v>
      </c>
      <c r="J63" s="68" t="str">
        <f ca="1">IF(AND(J$5&gt;=Forecast_Start_Date,$A63&gt;0),IF($C63="Revenue Model",INDEX(Revenue_Forecast_Array,MATCH(J$5,Revenue_Model_Months,0)),IF($C63="% of Sales",$D63*J$16,IF($C63="Payroll Model",SUMIFS('Payroll Model'!M:M,Payroll_Mappings,'Operating Model'!$A63),IF($C63="Continue Last Month",I63," ")))),IF($A63&gt;0,INDEX(INDIRECT(J$1),MATCH($A63,Profit_and_Loss_Categories,0))," "))</f>
        <v xml:space="preserve"> </v>
      </c>
      <c r="K63" s="68" t="str">
        <f ca="1">IF(AND(K$5&gt;=Forecast_Start_Date,$A63&gt;0),IF($C63="Revenue Model",INDEX(Revenue_Forecast_Array,MATCH(K$5,Revenue_Model_Months,0)),IF($C63="% of Sales",$D63*K$16,IF($C63="Payroll Model",SUMIFS('Payroll Model'!N:N,Payroll_Mappings,'Operating Model'!$A63),IF($C63="Continue Last Month",J63," ")))),IF($A63&gt;0,INDEX(INDIRECT(K$1),MATCH($A63,Profit_and_Loss_Categories,0))," "))</f>
        <v xml:space="preserve"> </v>
      </c>
      <c r="L63" s="68" t="str">
        <f ca="1">IF(AND(L$5&gt;=Forecast_Start_Date,$A63&gt;0),IF($C63="Revenue Model",INDEX(Revenue_Forecast_Array,MATCH(L$5,Revenue_Model_Months,0)),IF($C63="% of Sales",$D63*L$16,IF($C63="Payroll Model",SUMIFS('Payroll Model'!O:O,Payroll_Mappings,'Operating Model'!$A63),IF($C63="Continue Last Month",K63," ")))),IF($A63&gt;0,INDEX(INDIRECT(L$1),MATCH($A63,Profit_and_Loss_Categories,0))," "))</f>
        <v xml:space="preserve"> </v>
      </c>
      <c r="M63" s="68" t="str">
        <f ca="1">IF(AND(M$5&gt;=Forecast_Start_Date,$A63&gt;0),IF($C63="Revenue Model",INDEX(Revenue_Forecast_Array,MATCH(M$5,Revenue_Model_Months,0)),IF($C63="% of Sales",$D63*M$16,IF($C63="Payroll Model",SUMIFS('Payroll Model'!P:P,Payroll_Mappings,'Operating Model'!$A63),IF($C63="Continue Last Month",L63," ")))),IF($A63&gt;0,INDEX(INDIRECT(M$1),MATCH($A63,Profit_and_Loss_Categories,0))," "))</f>
        <v xml:space="preserve"> </v>
      </c>
      <c r="N63" s="68" t="str">
        <f ca="1">IF(AND(N$5&gt;=Forecast_Start_Date,$A63&gt;0),IF($C63="Revenue Model",INDEX(Revenue_Forecast_Array,MATCH(N$5,Revenue_Model_Months,0)),IF($C63="% of Sales",$D63*N$16,IF($C63="Payroll Model",SUMIFS('Payroll Model'!Q:Q,Payroll_Mappings,'Operating Model'!$A63),IF($C63="Continue Last Month",M63," ")))),IF($A63&gt;0,INDEX(INDIRECT(N$1),MATCH($A63,Profit_and_Loss_Categories,0))," "))</f>
        <v xml:space="preserve"> </v>
      </c>
      <c r="O63" s="68" t="str">
        <f ca="1">IF(AND(O$5&gt;=Forecast_Start_Date,$A63&gt;0),IF($C63="Revenue Model",INDEX(Revenue_Forecast_Array,MATCH(O$5,Revenue_Model_Months,0)),IF($C63="% of Sales",$D63*O$16,IF($C63="Payroll Model",SUMIFS('Payroll Model'!R:R,Payroll_Mappings,'Operating Model'!$A63),IF($C63="Continue Last Month",N63," ")))),IF($A63&gt;0,INDEX(INDIRECT(O$1),MATCH($A63,Profit_and_Loss_Categories,0))," "))</f>
        <v xml:space="preserve"> </v>
      </c>
      <c r="P63" s="68" t="str">
        <f ca="1">IF(AND(P$5&gt;=Forecast_Start_Date,$A63&gt;0),IF($C63="Revenue Model",INDEX(Revenue_Forecast_Array,MATCH(P$5,Revenue_Model_Months,0)),IF($C63="% of Sales",$D63*P$16,IF($C63="Payroll Model",SUMIFS('Payroll Model'!S:S,Payroll_Mappings,'Operating Model'!$A63),IF($C63="Continue Last Month",O63," ")))),IF($A63&gt;0,INDEX(INDIRECT(P$1),MATCH($A63,Profit_and_Loss_Categories,0))," "))</f>
        <v xml:space="preserve"> </v>
      </c>
      <c r="Q63" s="68" t="str">
        <f ca="1">IF(AND(Q$5&gt;=Forecast_Start_Date,$A63&gt;0),IF($C63="Revenue Model",INDEX(Revenue_Forecast_Array,MATCH(Q$5,Revenue_Model_Months,0)),IF($C63="% of Sales",$D63*Q$16,IF($C63="Payroll Model",SUMIFS('Payroll Model'!T:T,Payroll_Mappings,'Operating Model'!$A63),IF($C63="Continue Last Month",P63," ")))),IF($A63&gt;0,INDEX(INDIRECT(Q$1),MATCH($A63,Profit_and_Loss_Categories,0))," "))</f>
        <v xml:space="preserve"> </v>
      </c>
    </row>
    <row r="64" spans="1:17" x14ac:dyDescent="0.2">
      <c r="A64" s="120"/>
      <c r="C64" s="66" t="s">
        <v>101</v>
      </c>
      <c r="D64" s="103"/>
      <c r="F64" s="73" t="str">
        <f ca="1">IF(AND(F$5&gt;=Forecast_Start_Date,$A64&gt;0),IF($C64="Revenue Model",INDEX(Revenue_Forecast_Array,MATCH(F$5,Revenue_Model_Months,0)),IF($C64="% of Sales",$D64*F$16,IF($C64="Payroll Model",SUMIFS('Payroll Model'!I:I,Payroll_Mappings,'Operating Model'!$A64),IF($C64="Continue Last Month",E64," ")))),IF($A64&gt;0,INDEX(INDIRECT(F$1),MATCH($A64,Profit_and_Loss_Categories,0))," "))</f>
        <v xml:space="preserve"> </v>
      </c>
      <c r="G64" s="73" t="str">
        <f ca="1">IF(AND(G$5&gt;=Forecast_Start_Date,$A64&gt;0),IF($C64="Revenue Model",INDEX(Revenue_Forecast_Array,MATCH(G$5,Revenue_Model_Months,0)),IF($C64="% of Sales",$D64*G$16,IF($C64="Payroll Model",SUMIFS('Payroll Model'!J:J,Payroll_Mappings,'Operating Model'!$A64),IF($C64="Continue Last Month",F64," ")))),IF($A64&gt;0,INDEX(INDIRECT(G$1),MATCH($A64,Profit_and_Loss_Categories,0))," "))</f>
        <v xml:space="preserve"> </v>
      </c>
      <c r="H64" s="73" t="str">
        <f ca="1">IF(AND(H$5&gt;=Forecast_Start_Date,$A64&gt;0),IF($C64="Revenue Model",INDEX(Revenue_Forecast_Array,MATCH(H$5,Revenue_Model_Months,0)),IF($C64="% of Sales",$D64*H$16,IF($C64="Payroll Model",SUMIFS('Payroll Model'!K:K,Payroll_Mappings,'Operating Model'!$A64),IF($C64="Continue Last Month",G64," ")))),IF($A64&gt;0,INDEX(INDIRECT(H$1),MATCH($A64,Profit_and_Loss_Categories,0))," "))</f>
        <v xml:space="preserve"> </v>
      </c>
      <c r="I64" s="68" t="str">
        <f ca="1">IF(AND(I$5&gt;=Forecast_Start_Date,$A64&gt;0),IF($C64="Revenue Model",INDEX(Revenue_Forecast_Array,MATCH(I$5,Revenue_Model_Months,0)),IF($C64="% of Sales",$D64*I$16,IF($C64="Payroll Model",SUMIFS('Payroll Model'!L:L,Payroll_Mappings,'Operating Model'!$A64),IF($C64="Continue Last Month",H64," ")))),IF($A64&gt;0,INDEX(INDIRECT(I$1),MATCH($A64,Profit_and_Loss_Categories,0))," "))</f>
        <v xml:space="preserve"> </v>
      </c>
      <c r="J64" s="68" t="str">
        <f ca="1">IF(AND(J$5&gt;=Forecast_Start_Date,$A64&gt;0),IF($C64="Revenue Model",INDEX(Revenue_Forecast_Array,MATCH(J$5,Revenue_Model_Months,0)),IF($C64="% of Sales",$D64*J$16,IF($C64="Payroll Model",SUMIFS('Payroll Model'!M:M,Payroll_Mappings,'Operating Model'!$A64),IF($C64="Continue Last Month",I64," ")))),IF($A64&gt;0,INDEX(INDIRECT(J$1),MATCH($A64,Profit_and_Loss_Categories,0))," "))</f>
        <v xml:space="preserve"> </v>
      </c>
      <c r="K64" s="68" t="str">
        <f ca="1">IF(AND(K$5&gt;=Forecast_Start_Date,$A64&gt;0),IF($C64="Revenue Model",INDEX(Revenue_Forecast_Array,MATCH(K$5,Revenue_Model_Months,0)),IF($C64="% of Sales",$D64*K$16,IF($C64="Payroll Model",SUMIFS('Payroll Model'!N:N,Payroll_Mappings,'Operating Model'!$A64),IF($C64="Continue Last Month",J64," ")))),IF($A64&gt;0,INDEX(INDIRECT(K$1),MATCH($A64,Profit_and_Loss_Categories,0))," "))</f>
        <v xml:space="preserve"> </v>
      </c>
      <c r="L64" s="68" t="str">
        <f ca="1">IF(AND(L$5&gt;=Forecast_Start_Date,$A64&gt;0),IF($C64="Revenue Model",INDEX(Revenue_Forecast_Array,MATCH(L$5,Revenue_Model_Months,0)),IF($C64="% of Sales",$D64*L$16,IF($C64="Payroll Model",SUMIFS('Payroll Model'!O:O,Payroll_Mappings,'Operating Model'!$A64),IF($C64="Continue Last Month",K64," ")))),IF($A64&gt;0,INDEX(INDIRECT(L$1),MATCH($A64,Profit_and_Loss_Categories,0))," "))</f>
        <v xml:space="preserve"> </v>
      </c>
      <c r="M64" s="68" t="str">
        <f ca="1">IF(AND(M$5&gt;=Forecast_Start_Date,$A64&gt;0),IF($C64="Revenue Model",INDEX(Revenue_Forecast_Array,MATCH(M$5,Revenue_Model_Months,0)),IF($C64="% of Sales",$D64*M$16,IF($C64="Payroll Model",SUMIFS('Payroll Model'!P:P,Payroll_Mappings,'Operating Model'!$A64),IF($C64="Continue Last Month",L64," ")))),IF($A64&gt;0,INDEX(INDIRECT(M$1),MATCH($A64,Profit_and_Loss_Categories,0))," "))</f>
        <v xml:space="preserve"> </v>
      </c>
      <c r="N64" s="68" t="str">
        <f ca="1">IF(AND(N$5&gt;=Forecast_Start_Date,$A64&gt;0),IF($C64="Revenue Model",INDEX(Revenue_Forecast_Array,MATCH(N$5,Revenue_Model_Months,0)),IF($C64="% of Sales",$D64*N$16,IF($C64="Payroll Model",SUMIFS('Payroll Model'!Q:Q,Payroll_Mappings,'Operating Model'!$A64),IF($C64="Continue Last Month",M64," ")))),IF($A64&gt;0,INDEX(INDIRECT(N$1),MATCH($A64,Profit_and_Loss_Categories,0))," "))</f>
        <v xml:space="preserve"> </v>
      </c>
      <c r="O64" s="68" t="str">
        <f ca="1">IF(AND(O$5&gt;=Forecast_Start_Date,$A64&gt;0),IF($C64="Revenue Model",INDEX(Revenue_Forecast_Array,MATCH(O$5,Revenue_Model_Months,0)),IF($C64="% of Sales",$D64*O$16,IF($C64="Payroll Model",SUMIFS('Payroll Model'!R:R,Payroll_Mappings,'Operating Model'!$A64),IF($C64="Continue Last Month",N64," ")))),IF($A64&gt;0,INDEX(INDIRECT(O$1),MATCH($A64,Profit_and_Loss_Categories,0))," "))</f>
        <v xml:space="preserve"> </v>
      </c>
      <c r="P64" s="68" t="str">
        <f ca="1">IF(AND(P$5&gt;=Forecast_Start_Date,$A64&gt;0),IF($C64="Revenue Model",INDEX(Revenue_Forecast_Array,MATCH(P$5,Revenue_Model_Months,0)),IF($C64="% of Sales",$D64*P$16,IF($C64="Payroll Model",SUMIFS('Payroll Model'!S:S,Payroll_Mappings,'Operating Model'!$A64),IF($C64="Continue Last Month",O64," ")))),IF($A64&gt;0,INDEX(INDIRECT(P$1),MATCH($A64,Profit_and_Loss_Categories,0))," "))</f>
        <v xml:space="preserve"> </v>
      </c>
      <c r="Q64" s="68" t="str">
        <f ca="1">IF(AND(Q$5&gt;=Forecast_Start_Date,$A64&gt;0),IF($C64="Revenue Model",INDEX(Revenue_Forecast_Array,MATCH(Q$5,Revenue_Model_Months,0)),IF($C64="% of Sales",$D64*Q$16,IF($C64="Payroll Model",SUMIFS('Payroll Model'!T:T,Payroll_Mappings,'Operating Model'!$A64),IF($C64="Continue Last Month",P64," ")))),IF($A64&gt;0,INDEX(INDIRECT(Q$1),MATCH($A64,Profit_and_Loss_Categories,0))," "))</f>
        <v xml:space="preserve"> </v>
      </c>
    </row>
    <row r="65" spans="1:17" x14ac:dyDescent="0.2">
      <c r="A65" s="120"/>
      <c r="C65" s="66" t="s">
        <v>101</v>
      </c>
      <c r="D65" s="103"/>
      <c r="F65" s="73" t="str">
        <f ca="1">IF(AND(F$5&gt;=Forecast_Start_Date,$A65&gt;0),IF($C65="Revenue Model",INDEX(Revenue_Forecast_Array,MATCH(F$5,Revenue_Model_Months,0)),IF($C65="% of Sales",$D65*F$16,IF($C65="Payroll Model",SUMIFS('Payroll Model'!I:I,Payroll_Mappings,'Operating Model'!$A65),IF($C65="Continue Last Month",E65," ")))),IF($A65&gt;0,INDEX(INDIRECT(F$1),MATCH($A65,Profit_and_Loss_Categories,0))," "))</f>
        <v xml:space="preserve"> </v>
      </c>
      <c r="G65" s="73" t="str">
        <f ca="1">IF(AND(G$5&gt;=Forecast_Start_Date,$A65&gt;0),IF($C65="Revenue Model",INDEX(Revenue_Forecast_Array,MATCH(G$5,Revenue_Model_Months,0)),IF($C65="% of Sales",$D65*G$16,IF($C65="Payroll Model",SUMIFS('Payroll Model'!J:J,Payroll_Mappings,'Operating Model'!$A65),IF($C65="Continue Last Month",F65," ")))),IF($A65&gt;0,INDEX(INDIRECT(G$1),MATCH($A65,Profit_and_Loss_Categories,0))," "))</f>
        <v xml:space="preserve"> </v>
      </c>
      <c r="H65" s="73" t="str">
        <f ca="1">IF(AND(H$5&gt;=Forecast_Start_Date,$A65&gt;0),IF($C65="Revenue Model",INDEX(Revenue_Forecast_Array,MATCH(H$5,Revenue_Model_Months,0)),IF($C65="% of Sales",$D65*H$16,IF($C65="Payroll Model",SUMIFS('Payroll Model'!K:K,Payroll_Mappings,'Operating Model'!$A65),IF($C65="Continue Last Month",G65," ")))),IF($A65&gt;0,INDEX(INDIRECT(H$1),MATCH($A65,Profit_and_Loss_Categories,0))," "))</f>
        <v xml:space="preserve"> </v>
      </c>
      <c r="I65" s="68" t="str">
        <f ca="1">IF(AND(I$5&gt;=Forecast_Start_Date,$A65&gt;0),IF($C65="Revenue Model",INDEX(Revenue_Forecast_Array,MATCH(I$5,Revenue_Model_Months,0)),IF($C65="% of Sales",$D65*I$16,IF($C65="Payroll Model",SUMIFS('Payroll Model'!L:L,Payroll_Mappings,'Operating Model'!$A65),IF($C65="Continue Last Month",H65," ")))),IF($A65&gt;0,INDEX(INDIRECT(I$1),MATCH($A65,Profit_and_Loss_Categories,0))," "))</f>
        <v xml:space="preserve"> </v>
      </c>
      <c r="J65" s="68" t="str">
        <f ca="1">IF(AND(J$5&gt;=Forecast_Start_Date,$A65&gt;0),IF($C65="Revenue Model",INDEX(Revenue_Forecast_Array,MATCH(J$5,Revenue_Model_Months,0)),IF($C65="% of Sales",$D65*J$16,IF($C65="Payroll Model",SUMIFS('Payroll Model'!M:M,Payroll_Mappings,'Operating Model'!$A65),IF($C65="Continue Last Month",I65," ")))),IF($A65&gt;0,INDEX(INDIRECT(J$1),MATCH($A65,Profit_and_Loss_Categories,0))," "))</f>
        <v xml:space="preserve"> </v>
      </c>
      <c r="K65" s="68" t="str">
        <f ca="1">IF(AND(K$5&gt;=Forecast_Start_Date,$A65&gt;0),IF($C65="Revenue Model",INDEX(Revenue_Forecast_Array,MATCH(K$5,Revenue_Model_Months,0)),IF($C65="% of Sales",$D65*K$16,IF($C65="Payroll Model",SUMIFS('Payroll Model'!N:N,Payroll_Mappings,'Operating Model'!$A65),IF($C65="Continue Last Month",J65," ")))),IF($A65&gt;0,INDEX(INDIRECT(K$1),MATCH($A65,Profit_and_Loss_Categories,0))," "))</f>
        <v xml:space="preserve"> </v>
      </c>
      <c r="L65" s="68" t="str">
        <f ca="1">IF(AND(L$5&gt;=Forecast_Start_Date,$A65&gt;0),IF($C65="Revenue Model",INDEX(Revenue_Forecast_Array,MATCH(L$5,Revenue_Model_Months,0)),IF($C65="% of Sales",$D65*L$16,IF($C65="Payroll Model",SUMIFS('Payroll Model'!O:O,Payroll_Mappings,'Operating Model'!$A65),IF($C65="Continue Last Month",K65," ")))),IF($A65&gt;0,INDEX(INDIRECT(L$1),MATCH($A65,Profit_and_Loss_Categories,0))," "))</f>
        <v xml:space="preserve"> </v>
      </c>
      <c r="M65" s="68" t="str">
        <f ca="1">IF(AND(M$5&gt;=Forecast_Start_Date,$A65&gt;0),IF($C65="Revenue Model",INDEX(Revenue_Forecast_Array,MATCH(M$5,Revenue_Model_Months,0)),IF($C65="% of Sales",$D65*M$16,IF($C65="Payroll Model",SUMIFS('Payroll Model'!P:P,Payroll_Mappings,'Operating Model'!$A65),IF($C65="Continue Last Month",L65," ")))),IF($A65&gt;0,INDEX(INDIRECT(M$1),MATCH($A65,Profit_and_Loss_Categories,0))," "))</f>
        <v xml:space="preserve"> </v>
      </c>
      <c r="N65" s="68" t="str">
        <f ca="1">IF(AND(N$5&gt;=Forecast_Start_Date,$A65&gt;0),IF($C65="Revenue Model",INDEX(Revenue_Forecast_Array,MATCH(N$5,Revenue_Model_Months,0)),IF($C65="% of Sales",$D65*N$16,IF($C65="Payroll Model",SUMIFS('Payroll Model'!Q:Q,Payroll_Mappings,'Operating Model'!$A65),IF($C65="Continue Last Month",M65," ")))),IF($A65&gt;0,INDEX(INDIRECT(N$1),MATCH($A65,Profit_and_Loss_Categories,0))," "))</f>
        <v xml:space="preserve"> </v>
      </c>
      <c r="O65" s="68" t="str">
        <f ca="1">IF(AND(O$5&gt;=Forecast_Start_Date,$A65&gt;0),IF($C65="Revenue Model",INDEX(Revenue_Forecast_Array,MATCH(O$5,Revenue_Model_Months,0)),IF($C65="% of Sales",$D65*O$16,IF($C65="Payroll Model",SUMIFS('Payroll Model'!R:R,Payroll_Mappings,'Operating Model'!$A65),IF($C65="Continue Last Month",N65," ")))),IF($A65&gt;0,INDEX(INDIRECT(O$1),MATCH($A65,Profit_and_Loss_Categories,0))," "))</f>
        <v xml:space="preserve"> </v>
      </c>
      <c r="P65" s="68" t="str">
        <f ca="1">IF(AND(P$5&gt;=Forecast_Start_Date,$A65&gt;0),IF($C65="Revenue Model",INDEX(Revenue_Forecast_Array,MATCH(P$5,Revenue_Model_Months,0)),IF($C65="% of Sales",$D65*P$16,IF($C65="Payroll Model",SUMIFS('Payroll Model'!S:S,Payroll_Mappings,'Operating Model'!$A65),IF($C65="Continue Last Month",O65," ")))),IF($A65&gt;0,INDEX(INDIRECT(P$1),MATCH($A65,Profit_and_Loss_Categories,0))," "))</f>
        <v xml:space="preserve"> </v>
      </c>
      <c r="Q65" s="68" t="str">
        <f ca="1">IF(AND(Q$5&gt;=Forecast_Start_Date,$A65&gt;0),IF($C65="Revenue Model",INDEX(Revenue_Forecast_Array,MATCH(Q$5,Revenue_Model_Months,0)),IF($C65="% of Sales",$D65*Q$16,IF($C65="Payroll Model",SUMIFS('Payroll Model'!T:T,Payroll_Mappings,'Operating Model'!$A65),IF($C65="Continue Last Month",P65," ")))),IF($A65&gt;0,INDEX(INDIRECT(Q$1),MATCH($A65,Profit_and_Loss_Categories,0))," "))</f>
        <v xml:space="preserve"> </v>
      </c>
    </row>
    <row r="66" spans="1:17" x14ac:dyDescent="0.2">
      <c r="A66" s="120"/>
      <c r="C66" s="66" t="s">
        <v>101</v>
      </c>
      <c r="D66" s="103"/>
      <c r="F66" s="73" t="str">
        <f ca="1">IF(AND(F$5&gt;=Forecast_Start_Date,$A66&gt;0),IF($C66="Revenue Model",INDEX(Revenue_Forecast_Array,MATCH(F$5,Revenue_Model_Months,0)),IF($C66="% of Sales",$D66*F$16,IF($C66="Payroll Model",SUMIFS('Payroll Model'!I:I,Payroll_Mappings,'Operating Model'!$A66),IF($C66="Continue Last Month",E66," ")))),IF($A66&gt;0,INDEX(INDIRECT(F$1),MATCH($A66,Profit_and_Loss_Categories,0))," "))</f>
        <v xml:space="preserve"> </v>
      </c>
      <c r="G66" s="73" t="str">
        <f ca="1">IF(AND(G$5&gt;=Forecast_Start_Date,$A66&gt;0),IF($C66="Revenue Model",INDEX(Revenue_Forecast_Array,MATCH(G$5,Revenue_Model_Months,0)),IF($C66="% of Sales",$D66*G$16,IF($C66="Payroll Model",SUMIFS('Payroll Model'!J:J,Payroll_Mappings,'Operating Model'!$A66),IF($C66="Continue Last Month",F66," ")))),IF($A66&gt;0,INDEX(INDIRECT(G$1),MATCH($A66,Profit_and_Loss_Categories,0))," "))</f>
        <v xml:space="preserve"> </v>
      </c>
      <c r="H66" s="73" t="str">
        <f ca="1">IF(AND(H$5&gt;=Forecast_Start_Date,$A66&gt;0),IF($C66="Revenue Model",INDEX(Revenue_Forecast_Array,MATCH(H$5,Revenue_Model_Months,0)),IF($C66="% of Sales",$D66*H$16,IF($C66="Payroll Model",SUMIFS('Payroll Model'!K:K,Payroll_Mappings,'Operating Model'!$A66),IF($C66="Continue Last Month",G66," ")))),IF($A66&gt;0,INDEX(INDIRECT(H$1),MATCH($A66,Profit_and_Loss_Categories,0))," "))</f>
        <v xml:space="preserve"> </v>
      </c>
      <c r="I66" s="68" t="str">
        <f ca="1">IF(AND(I$5&gt;=Forecast_Start_Date,$A66&gt;0),IF($C66="Revenue Model",INDEX(Revenue_Forecast_Array,MATCH(I$5,Revenue_Model_Months,0)),IF($C66="% of Sales",$D66*I$16,IF($C66="Payroll Model",SUMIFS('Payroll Model'!L:L,Payroll_Mappings,'Operating Model'!$A66),IF($C66="Continue Last Month",H66," ")))),IF($A66&gt;0,INDEX(INDIRECT(I$1),MATCH($A66,Profit_and_Loss_Categories,0))," "))</f>
        <v xml:space="preserve"> </v>
      </c>
      <c r="J66" s="68" t="str">
        <f ca="1">IF(AND(J$5&gt;=Forecast_Start_Date,$A66&gt;0),IF($C66="Revenue Model",INDEX(Revenue_Forecast_Array,MATCH(J$5,Revenue_Model_Months,0)),IF($C66="% of Sales",$D66*J$16,IF($C66="Payroll Model",SUMIFS('Payroll Model'!M:M,Payroll_Mappings,'Operating Model'!$A66),IF($C66="Continue Last Month",I66," ")))),IF($A66&gt;0,INDEX(INDIRECT(J$1),MATCH($A66,Profit_and_Loss_Categories,0))," "))</f>
        <v xml:space="preserve"> </v>
      </c>
      <c r="K66" s="68" t="str">
        <f ca="1">IF(AND(K$5&gt;=Forecast_Start_Date,$A66&gt;0),IF($C66="Revenue Model",INDEX(Revenue_Forecast_Array,MATCH(K$5,Revenue_Model_Months,0)),IF($C66="% of Sales",$D66*K$16,IF($C66="Payroll Model",SUMIFS('Payroll Model'!N:N,Payroll_Mappings,'Operating Model'!$A66),IF($C66="Continue Last Month",J66," ")))),IF($A66&gt;0,INDEX(INDIRECT(K$1),MATCH($A66,Profit_and_Loss_Categories,0))," "))</f>
        <v xml:space="preserve"> </v>
      </c>
      <c r="L66" s="68" t="str">
        <f ca="1">IF(AND(L$5&gt;=Forecast_Start_Date,$A66&gt;0),IF($C66="Revenue Model",INDEX(Revenue_Forecast_Array,MATCH(L$5,Revenue_Model_Months,0)),IF($C66="% of Sales",$D66*L$16,IF($C66="Payroll Model",SUMIFS('Payroll Model'!O:O,Payroll_Mappings,'Operating Model'!$A66),IF($C66="Continue Last Month",K66," ")))),IF($A66&gt;0,INDEX(INDIRECT(L$1),MATCH($A66,Profit_and_Loss_Categories,0))," "))</f>
        <v xml:space="preserve"> </v>
      </c>
      <c r="M66" s="68" t="str">
        <f ca="1">IF(AND(M$5&gt;=Forecast_Start_Date,$A66&gt;0),IF($C66="Revenue Model",INDEX(Revenue_Forecast_Array,MATCH(M$5,Revenue_Model_Months,0)),IF($C66="% of Sales",$D66*M$16,IF($C66="Payroll Model",SUMIFS('Payroll Model'!P:P,Payroll_Mappings,'Operating Model'!$A66),IF($C66="Continue Last Month",L66," ")))),IF($A66&gt;0,INDEX(INDIRECT(M$1),MATCH($A66,Profit_and_Loss_Categories,0))," "))</f>
        <v xml:space="preserve"> </v>
      </c>
      <c r="N66" s="68" t="str">
        <f ca="1">IF(AND(N$5&gt;=Forecast_Start_Date,$A66&gt;0),IF($C66="Revenue Model",INDEX(Revenue_Forecast_Array,MATCH(N$5,Revenue_Model_Months,0)),IF($C66="% of Sales",$D66*N$16,IF($C66="Payroll Model",SUMIFS('Payroll Model'!Q:Q,Payroll_Mappings,'Operating Model'!$A66),IF($C66="Continue Last Month",M66," ")))),IF($A66&gt;0,INDEX(INDIRECT(N$1),MATCH($A66,Profit_and_Loss_Categories,0))," "))</f>
        <v xml:space="preserve"> </v>
      </c>
      <c r="O66" s="68" t="str">
        <f ca="1">IF(AND(O$5&gt;=Forecast_Start_Date,$A66&gt;0),IF($C66="Revenue Model",INDEX(Revenue_Forecast_Array,MATCH(O$5,Revenue_Model_Months,0)),IF($C66="% of Sales",$D66*O$16,IF($C66="Payroll Model",SUMIFS('Payroll Model'!R:R,Payroll_Mappings,'Operating Model'!$A66),IF($C66="Continue Last Month",N66," ")))),IF($A66&gt;0,INDEX(INDIRECT(O$1),MATCH($A66,Profit_and_Loss_Categories,0))," "))</f>
        <v xml:space="preserve"> </v>
      </c>
      <c r="P66" s="68" t="str">
        <f ca="1">IF(AND(P$5&gt;=Forecast_Start_Date,$A66&gt;0),IF($C66="Revenue Model",INDEX(Revenue_Forecast_Array,MATCH(P$5,Revenue_Model_Months,0)),IF($C66="% of Sales",$D66*P$16,IF($C66="Payroll Model",SUMIFS('Payroll Model'!S:S,Payroll_Mappings,'Operating Model'!$A66),IF($C66="Continue Last Month",O66," ")))),IF($A66&gt;0,INDEX(INDIRECT(P$1),MATCH($A66,Profit_and_Loss_Categories,0))," "))</f>
        <v xml:space="preserve"> </v>
      </c>
      <c r="Q66" s="68" t="str">
        <f ca="1">IF(AND(Q$5&gt;=Forecast_Start_Date,$A66&gt;0),IF($C66="Revenue Model",INDEX(Revenue_Forecast_Array,MATCH(Q$5,Revenue_Model_Months,0)),IF($C66="% of Sales",$D66*Q$16,IF($C66="Payroll Model",SUMIFS('Payroll Model'!T:T,Payroll_Mappings,'Operating Model'!$A66),IF($C66="Continue Last Month",P66," ")))),IF($A66&gt;0,INDEX(INDIRECT(Q$1),MATCH($A66,Profit_and_Loss_Categories,0))," "))</f>
        <v xml:space="preserve"> </v>
      </c>
    </row>
    <row r="67" spans="1:17" x14ac:dyDescent="0.2">
      <c r="A67" s="120"/>
      <c r="C67" s="66" t="s">
        <v>101</v>
      </c>
      <c r="D67" s="103"/>
      <c r="F67" s="73" t="str">
        <f ca="1">IF(AND(F$5&gt;=Forecast_Start_Date,$A67&gt;0),IF($C67="Revenue Model",INDEX(Revenue_Forecast_Array,MATCH(F$5,Revenue_Model_Months,0)),IF($C67="% of Sales",$D67*F$16,IF($C67="Payroll Model",SUMIFS('Payroll Model'!I:I,Payroll_Mappings,'Operating Model'!$A67),IF($C67="Continue Last Month",E67," ")))),IF($A67&gt;0,INDEX(INDIRECT(F$1),MATCH($A67,Profit_and_Loss_Categories,0))," "))</f>
        <v xml:space="preserve"> </v>
      </c>
      <c r="G67" s="73" t="str">
        <f ca="1">IF(AND(G$5&gt;=Forecast_Start_Date,$A67&gt;0),IF($C67="Revenue Model",INDEX(Revenue_Forecast_Array,MATCH(G$5,Revenue_Model_Months,0)),IF($C67="% of Sales",$D67*G$16,IF($C67="Payroll Model",SUMIFS('Payroll Model'!J:J,Payroll_Mappings,'Operating Model'!$A67),IF($C67="Continue Last Month",F67," ")))),IF($A67&gt;0,INDEX(INDIRECT(G$1),MATCH($A67,Profit_and_Loss_Categories,0))," "))</f>
        <v xml:space="preserve"> </v>
      </c>
      <c r="H67" s="73" t="str">
        <f ca="1">IF(AND(H$5&gt;=Forecast_Start_Date,$A67&gt;0),IF($C67="Revenue Model",INDEX(Revenue_Forecast_Array,MATCH(H$5,Revenue_Model_Months,0)),IF($C67="% of Sales",$D67*H$16,IF($C67="Payroll Model",SUMIFS('Payroll Model'!K:K,Payroll_Mappings,'Operating Model'!$A67),IF($C67="Continue Last Month",G67," ")))),IF($A67&gt;0,INDEX(INDIRECT(H$1),MATCH($A67,Profit_and_Loss_Categories,0))," "))</f>
        <v xml:space="preserve"> </v>
      </c>
      <c r="I67" s="68" t="str">
        <f ca="1">IF(AND(I$5&gt;=Forecast_Start_Date,$A67&gt;0),IF($C67="Revenue Model",INDEX(Revenue_Forecast_Array,MATCH(I$5,Revenue_Model_Months,0)),IF($C67="% of Sales",$D67*I$16,IF($C67="Payroll Model",SUMIFS('Payroll Model'!L:L,Payroll_Mappings,'Operating Model'!$A67),IF($C67="Continue Last Month",H67," ")))),IF($A67&gt;0,INDEX(INDIRECT(I$1),MATCH($A67,Profit_and_Loss_Categories,0))," "))</f>
        <v xml:space="preserve"> </v>
      </c>
      <c r="J67" s="68" t="str">
        <f ca="1">IF(AND(J$5&gt;=Forecast_Start_Date,$A67&gt;0),IF($C67="Revenue Model",INDEX(Revenue_Forecast_Array,MATCH(J$5,Revenue_Model_Months,0)),IF($C67="% of Sales",$D67*J$16,IF($C67="Payroll Model",SUMIFS('Payroll Model'!M:M,Payroll_Mappings,'Operating Model'!$A67),IF($C67="Continue Last Month",I67," ")))),IF($A67&gt;0,INDEX(INDIRECT(J$1),MATCH($A67,Profit_and_Loss_Categories,0))," "))</f>
        <v xml:space="preserve"> </v>
      </c>
      <c r="K67" s="68" t="str">
        <f ca="1">IF(AND(K$5&gt;=Forecast_Start_Date,$A67&gt;0),IF($C67="Revenue Model",INDEX(Revenue_Forecast_Array,MATCH(K$5,Revenue_Model_Months,0)),IF($C67="% of Sales",$D67*K$16,IF($C67="Payroll Model",SUMIFS('Payroll Model'!N:N,Payroll_Mappings,'Operating Model'!$A67),IF($C67="Continue Last Month",J67," ")))),IF($A67&gt;0,INDEX(INDIRECT(K$1),MATCH($A67,Profit_and_Loss_Categories,0))," "))</f>
        <v xml:space="preserve"> </v>
      </c>
      <c r="L67" s="68" t="str">
        <f ca="1">IF(AND(L$5&gt;=Forecast_Start_Date,$A67&gt;0),IF($C67="Revenue Model",INDEX(Revenue_Forecast_Array,MATCH(L$5,Revenue_Model_Months,0)),IF($C67="% of Sales",$D67*L$16,IF($C67="Payroll Model",SUMIFS('Payroll Model'!O:O,Payroll_Mappings,'Operating Model'!$A67),IF($C67="Continue Last Month",K67," ")))),IF($A67&gt;0,INDEX(INDIRECT(L$1),MATCH($A67,Profit_and_Loss_Categories,0))," "))</f>
        <v xml:space="preserve"> </v>
      </c>
      <c r="M67" s="68" t="str">
        <f ca="1">IF(AND(M$5&gt;=Forecast_Start_Date,$A67&gt;0),IF($C67="Revenue Model",INDEX(Revenue_Forecast_Array,MATCH(M$5,Revenue_Model_Months,0)),IF($C67="% of Sales",$D67*M$16,IF($C67="Payroll Model",SUMIFS('Payroll Model'!P:P,Payroll_Mappings,'Operating Model'!$A67),IF($C67="Continue Last Month",L67," ")))),IF($A67&gt;0,INDEX(INDIRECT(M$1),MATCH($A67,Profit_and_Loss_Categories,0))," "))</f>
        <v xml:space="preserve"> </v>
      </c>
      <c r="N67" s="68" t="str">
        <f ca="1">IF(AND(N$5&gt;=Forecast_Start_Date,$A67&gt;0),IF($C67="Revenue Model",INDEX(Revenue_Forecast_Array,MATCH(N$5,Revenue_Model_Months,0)),IF($C67="% of Sales",$D67*N$16,IF($C67="Payroll Model",SUMIFS('Payroll Model'!Q:Q,Payroll_Mappings,'Operating Model'!$A67),IF($C67="Continue Last Month",M67," ")))),IF($A67&gt;0,INDEX(INDIRECT(N$1),MATCH($A67,Profit_and_Loss_Categories,0))," "))</f>
        <v xml:space="preserve"> </v>
      </c>
      <c r="O67" s="68" t="str">
        <f ca="1">IF(AND(O$5&gt;=Forecast_Start_Date,$A67&gt;0),IF($C67="Revenue Model",INDEX(Revenue_Forecast_Array,MATCH(O$5,Revenue_Model_Months,0)),IF($C67="% of Sales",$D67*O$16,IF($C67="Payroll Model",SUMIFS('Payroll Model'!R:R,Payroll_Mappings,'Operating Model'!$A67),IF($C67="Continue Last Month",N67," ")))),IF($A67&gt;0,INDEX(INDIRECT(O$1),MATCH($A67,Profit_and_Loss_Categories,0))," "))</f>
        <v xml:space="preserve"> </v>
      </c>
      <c r="P67" s="68" t="str">
        <f ca="1">IF(AND(P$5&gt;=Forecast_Start_Date,$A67&gt;0),IF($C67="Revenue Model",INDEX(Revenue_Forecast_Array,MATCH(P$5,Revenue_Model_Months,0)),IF($C67="% of Sales",$D67*P$16,IF($C67="Payroll Model",SUMIFS('Payroll Model'!S:S,Payroll_Mappings,'Operating Model'!$A67),IF($C67="Continue Last Month",O67," ")))),IF($A67&gt;0,INDEX(INDIRECT(P$1),MATCH($A67,Profit_and_Loss_Categories,0))," "))</f>
        <v xml:space="preserve"> </v>
      </c>
      <c r="Q67" s="68" t="str">
        <f ca="1">IF(AND(Q$5&gt;=Forecast_Start_Date,$A67&gt;0),IF($C67="Revenue Model",INDEX(Revenue_Forecast_Array,MATCH(Q$5,Revenue_Model_Months,0)),IF($C67="% of Sales",$D67*Q$16,IF($C67="Payroll Model",SUMIFS('Payroll Model'!T:T,Payroll_Mappings,'Operating Model'!$A67),IF($C67="Continue Last Month",P67," ")))),IF($A67&gt;0,INDEX(INDIRECT(Q$1),MATCH($A67,Profit_and_Loss_Categories,0))," "))</f>
        <v xml:space="preserve"> </v>
      </c>
    </row>
    <row r="68" spans="1:17" x14ac:dyDescent="0.2">
      <c r="A68" s="120">
        <v>0</v>
      </c>
      <c r="C68" s="66" t="s">
        <v>101</v>
      </c>
      <c r="D68" s="103"/>
      <c r="F68" s="73" t="str">
        <f ca="1">IF(AND(F$5&gt;=Forecast_Start_Date,$A68&gt;0),IF($C68="Revenue Model",INDEX(Revenue_Forecast_Array,MATCH(F$5,Revenue_Model_Months,0)),IF($C68="% of Sales",$D68*F$16,IF($C68="Payroll Model",SUMIFS('Payroll Model'!I:I,Payroll_Mappings,'Operating Model'!$A68),IF($C68="Continue Last Month",E68," ")))),IF($A68&gt;0,INDEX(INDIRECT(F$1),MATCH($A68,Profit_and_Loss_Categories,0))," "))</f>
        <v xml:space="preserve"> </v>
      </c>
      <c r="G68" s="73" t="str">
        <f ca="1">IF(AND(G$5&gt;=Forecast_Start_Date,$A68&gt;0),IF($C68="Revenue Model",INDEX(Revenue_Forecast_Array,MATCH(G$5,Revenue_Model_Months,0)),IF($C68="% of Sales",$D68*G$16,IF($C68="Payroll Model",SUMIFS('Payroll Model'!J:J,Payroll_Mappings,'Operating Model'!$A68),IF($C68="Continue Last Month",F68," ")))),IF($A68&gt;0,INDEX(INDIRECT(G$1),MATCH($A68,Profit_and_Loss_Categories,0))," "))</f>
        <v xml:space="preserve"> </v>
      </c>
      <c r="H68" s="73" t="str">
        <f ca="1">IF(AND(H$5&gt;=Forecast_Start_Date,$A68&gt;0),IF($C68="Revenue Model",INDEX(Revenue_Forecast_Array,MATCH(H$5,Revenue_Model_Months,0)),IF($C68="% of Sales",$D68*H$16,IF($C68="Payroll Model",SUMIFS('Payroll Model'!K:K,Payroll_Mappings,'Operating Model'!$A68),IF($C68="Continue Last Month",G68," ")))),IF($A68&gt;0,INDEX(INDIRECT(H$1),MATCH($A68,Profit_and_Loss_Categories,0))," "))</f>
        <v xml:space="preserve"> </v>
      </c>
      <c r="I68" s="68" t="str">
        <f ca="1">IF(AND(I$5&gt;=Forecast_Start_Date,$A68&gt;0),IF($C68="Revenue Model",INDEX(Revenue_Forecast_Array,MATCH(I$5,Revenue_Model_Months,0)),IF($C68="% of Sales",$D68*I$16,IF($C68="Payroll Model",SUMIFS('Payroll Model'!L:L,Payroll_Mappings,'Operating Model'!$A68),IF($C68="Continue Last Month",H68," ")))),IF($A68&gt;0,INDEX(INDIRECT(I$1),MATCH($A68,Profit_and_Loss_Categories,0))," "))</f>
        <v xml:space="preserve"> </v>
      </c>
      <c r="J68" s="68" t="str">
        <f ca="1">IF(AND(J$5&gt;=Forecast_Start_Date,$A68&gt;0),IF($C68="Revenue Model",INDEX(Revenue_Forecast_Array,MATCH(J$5,Revenue_Model_Months,0)),IF($C68="% of Sales",$D68*J$16,IF($C68="Payroll Model",SUMIFS('Payroll Model'!M:M,Payroll_Mappings,'Operating Model'!$A68),IF($C68="Continue Last Month",I68," ")))),IF($A68&gt;0,INDEX(INDIRECT(J$1),MATCH($A68,Profit_and_Loss_Categories,0))," "))</f>
        <v xml:space="preserve"> </v>
      </c>
      <c r="K68" s="68" t="str">
        <f ca="1">IF(AND(K$5&gt;=Forecast_Start_Date,$A68&gt;0),IF($C68="Revenue Model",INDEX(Revenue_Forecast_Array,MATCH(K$5,Revenue_Model_Months,0)),IF($C68="% of Sales",$D68*K$16,IF($C68="Payroll Model",SUMIFS('Payroll Model'!N:N,Payroll_Mappings,'Operating Model'!$A68),IF($C68="Continue Last Month",J68," ")))),IF($A68&gt;0,INDEX(INDIRECT(K$1),MATCH($A68,Profit_and_Loss_Categories,0))," "))</f>
        <v xml:space="preserve"> </v>
      </c>
      <c r="L68" s="68" t="str">
        <f ca="1">IF(AND(L$5&gt;=Forecast_Start_Date,$A68&gt;0),IF($C68="Revenue Model",INDEX(Revenue_Forecast_Array,MATCH(L$5,Revenue_Model_Months,0)),IF($C68="% of Sales",$D68*L$16,IF($C68="Payroll Model",SUMIFS('Payroll Model'!O:O,Payroll_Mappings,'Operating Model'!$A68),IF($C68="Continue Last Month",K68," ")))),IF($A68&gt;0,INDEX(INDIRECT(L$1),MATCH($A68,Profit_and_Loss_Categories,0))," "))</f>
        <v xml:space="preserve"> </v>
      </c>
      <c r="M68" s="68" t="str">
        <f ca="1">IF(AND(M$5&gt;=Forecast_Start_Date,$A68&gt;0),IF($C68="Revenue Model",INDEX(Revenue_Forecast_Array,MATCH(M$5,Revenue_Model_Months,0)),IF($C68="% of Sales",$D68*M$16,IF($C68="Payroll Model",SUMIFS('Payroll Model'!P:P,Payroll_Mappings,'Operating Model'!$A68),IF($C68="Continue Last Month",L68," ")))),IF($A68&gt;0,INDEX(INDIRECT(M$1),MATCH($A68,Profit_and_Loss_Categories,0))," "))</f>
        <v xml:space="preserve"> </v>
      </c>
      <c r="N68" s="68" t="str">
        <f ca="1">IF(AND(N$5&gt;=Forecast_Start_Date,$A68&gt;0),IF($C68="Revenue Model",INDEX(Revenue_Forecast_Array,MATCH(N$5,Revenue_Model_Months,0)),IF($C68="% of Sales",$D68*N$16,IF($C68="Payroll Model",SUMIFS('Payroll Model'!Q:Q,Payroll_Mappings,'Operating Model'!$A68),IF($C68="Continue Last Month",M68," ")))),IF($A68&gt;0,INDEX(INDIRECT(N$1),MATCH($A68,Profit_and_Loss_Categories,0))," "))</f>
        <v xml:space="preserve"> </v>
      </c>
      <c r="O68" s="68" t="str">
        <f ca="1">IF(AND(O$5&gt;=Forecast_Start_Date,$A68&gt;0),IF($C68="Revenue Model",INDEX(Revenue_Forecast_Array,MATCH(O$5,Revenue_Model_Months,0)),IF($C68="% of Sales",$D68*O$16,IF($C68="Payroll Model",SUMIFS('Payroll Model'!R:R,Payroll_Mappings,'Operating Model'!$A68),IF($C68="Continue Last Month",N68," ")))),IF($A68&gt;0,INDEX(INDIRECT(O$1),MATCH($A68,Profit_and_Loss_Categories,0))," "))</f>
        <v xml:space="preserve"> </v>
      </c>
      <c r="P68" s="68" t="str">
        <f ca="1">IF(AND(P$5&gt;=Forecast_Start_Date,$A68&gt;0),IF($C68="Revenue Model",INDEX(Revenue_Forecast_Array,MATCH(P$5,Revenue_Model_Months,0)),IF($C68="% of Sales",$D68*P$16,IF($C68="Payroll Model",SUMIFS('Payroll Model'!S:S,Payroll_Mappings,'Operating Model'!$A68),IF($C68="Continue Last Month",O68," ")))),IF($A68&gt;0,INDEX(INDIRECT(P$1),MATCH($A68,Profit_and_Loss_Categories,0))," "))</f>
        <v xml:space="preserve"> </v>
      </c>
      <c r="Q68" s="68" t="str">
        <f ca="1">IF(AND(Q$5&gt;=Forecast_Start_Date,$A68&gt;0),IF($C68="Revenue Model",INDEX(Revenue_Forecast_Array,MATCH(Q$5,Revenue_Model_Months,0)),IF($C68="% of Sales",$D68*Q$16,IF($C68="Payroll Model",SUMIFS('Payroll Model'!T:T,Payroll_Mappings,'Operating Model'!$A68),IF($C68="Continue Last Month",P68," ")))),IF($A68&gt;0,INDEX(INDIRECT(Q$1),MATCH($A68,Profit_and_Loss_Categories,0))," "))</f>
        <v xml:space="preserve"> </v>
      </c>
    </row>
    <row r="69" spans="1:17" x14ac:dyDescent="0.2">
      <c r="A69" s="120"/>
      <c r="C69" s="66" t="s">
        <v>101</v>
      </c>
      <c r="D69" s="103"/>
      <c r="F69" s="73" t="str">
        <f ca="1">IF(AND(F$5&gt;=Forecast_Start_Date,$A69&gt;0),IF($C69="Revenue Model",INDEX(Revenue_Forecast_Array,MATCH(F$5,Revenue_Model_Months,0)),IF($C69="% of Sales",$D69*F$16,IF($C69="Payroll Model",SUMIFS('Payroll Model'!I:I,Payroll_Mappings,'Operating Model'!$A69),IF($C69="Continue Last Month",E69," ")))),IF($A69&gt;0,INDEX(INDIRECT(F$1),MATCH($A69,Profit_and_Loss_Categories,0))," "))</f>
        <v xml:space="preserve"> </v>
      </c>
      <c r="G69" s="73" t="str">
        <f ca="1">IF(AND(G$5&gt;=Forecast_Start_Date,$A69&gt;0),IF($C69="Revenue Model",INDEX(Revenue_Forecast_Array,MATCH(G$5,Revenue_Model_Months,0)),IF($C69="% of Sales",$D69*G$16,IF($C69="Payroll Model",SUMIFS('Payroll Model'!J:J,Payroll_Mappings,'Operating Model'!$A69),IF($C69="Continue Last Month",F69," ")))),IF($A69&gt;0,INDEX(INDIRECT(G$1),MATCH($A69,Profit_and_Loss_Categories,0))," "))</f>
        <v xml:space="preserve"> </v>
      </c>
      <c r="H69" s="73" t="str">
        <f ca="1">IF(AND(H$5&gt;=Forecast_Start_Date,$A69&gt;0),IF($C69="Revenue Model",INDEX(Revenue_Forecast_Array,MATCH(H$5,Revenue_Model_Months,0)),IF($C69="% of Sales",$D69*H$16,IF($C69="Payroll Model",SUMIFS('Payroll Model'!K:K,Payroll_Mappings,'Operating Model'!$A69),IF($C69="Continue Last Month",G69," ")))),IF($A69&gt;0,INDEX(INDIRECT(H$1),MATCH($A69,Profit_and_Loss_Categories,0))," "))</f>
        <v xml:space="preserve"> </v>
      </c>
      <c r="I69" s="68" t="str">
        <f ca="1">IF(AND(I$5&gt;=Forecast_Start_Date,$A69&gt;0),IF($C69="Revenue Model",INDEX(Revenue_Forecast_Array,MATCH(I$5,Revenue_Model_Months,0)),IF($C69="% of Sales",$D69*I$16,IF($C69="Payroll Model",SUMIFS('Payroll Model'!L:L,Payroll_Mappings,'Operating Model'!$A69),IF($C69="Continue Last Month",H69," ")))),IF($A69&gt;0,INDEX(INDIRECT(I$1),MATCH($A69,Profit_and_Loss_Categories,0))," "))</f>
        <v xml:space="preserve"> </v>
      </c>
      <c r="J69" s="68" t="str">
        <f ca="1">IF(AND(J$5&gt;=Forecast_Start_Date,$A69&gt;0),IF($C69="Revenue Model",INDEX(Revenue_Forecast_Array,MATCH(J$5,Revenue_Model_Months,0)),IF($C69="% of Sales",$D69*J$16,IF($C69="Payroll Model",SUMIFS('Payroll Model'!M:M,Payroll_Mappings,'Operating Model'!$A69),IF($C69="Continue Last Month",I69," ")))),IF($A69&gt;0,INDEX(INDIRECT(J$1),MATCH($A69,Profit_and_Loss_Categories,0))," "))</f>
        <v xml:space="preserve"> </v>
      </c>
      <c r="K69" s="68" t="str">
        <f ca="1">IF(AND(K$5&gt;=Forecast_Start_Date,$A69&gt;0),IF($C69="Revenue Model",INDEX(Revenue_Forecast_Array,MATCH(K$5,Revenue_Model_Months,0)),IF($C69="% of Sales",$D69*K$16,IF($C69="Payroll Model",SUMIFS('Payroll Model'!N:N,Payroll_Mappings,'Operating Model'!$A69),IF($C69="Continue Last Month",J69," ")))),IF($A69&gt;0,INDEX(INDIRECT(K$1),MATCH($A69,Profit_and_Loss_Categories,0))," "))</f>
        <v xml:space="preserve"> </v>
      </c>
      <c r="L69" s="68" t="str">
        <f ca="1">IF(AND(L$5&gt;=Forecast_Start_Date,$A69&gt;0),IF($C69="Revenue Model",INDEX(Revenue_Forecast_Array,MATCH(L$5,Revenue_Model_Months,0)),IF($C69="% of Sales",$D69*L$16,IF($C69="Payroll Model",SUMIFS('Payroll Model'!O:O,Payroll_Mappings,'Operating Model'!$A69),IF($C69="Continue Last Month",K69," ")))),IF($A69&gt;0,INDEX(INDIRECT(L$1),MATCH($A69,Profit_and_Loss_Categories,0))," "))</f>
        <v xml:space="preserve"> </v>
      </c>
      <c r="M69" s="68" t="str">
        <f ca="1">IF(AND(M$5&gt;=Forecast_Start_Date,$A69&gt;0),IF($C69="Revenue Model",INDEX(Revenue_Forecast_Array,MATCH(M$5,Revenue_Model_Months,0)),IF($C69="% of Sales",$D69*M$16,IF($C69="Payroll Model",SUMIFS('Payroll Model'!P:P,Payroll_Mappings,'Operating Model'!$A69),IF($C69="Continue Last Month",L69," ")))),IF($A69&gt;0,INDEX(INDIRECT(M$1),MATCH($A69,Profit_and_Loss_Categories,0))," "))</f>
        <v xml:space="preserve"> </v>
      </c>
      <c r="N69" s="68" t="str">
        <f ca="1">IF(AND(N$5&gt;=Forecast_Start_Date,$A69&gt;0),IF($C69="Revenue Model",INDEX(Revenue_Forecast_Array,MATCH(N$5,Revenue_Model_Months,0)),IF($C69="% of Sales",$D69*N$16,IF($C69="Payroll Model",SUMIFS('Payroll Model'!Q:Q,Payroll_Mappings,'Operating Model'!$A69),IF($C69="Continue Last Month",M69," ")))),IF($A69&gt;0,INDEX(INDIRECT(N$1),MATCH($A69,Profit_and_Loss_Categories,0))," "))</f>
        <v xml:space="preserve"> </v>
      </c>
      <c r="O69" s="68" t="str">
        <f ca="1">IF(AND(O$5&gt;=Forecast_Start_Date,$A69&gt;0),IF($C69="Revenue Model",INDEX(Revenue_Forecast_Array,MATCH(O$5,Revenue_Model_Months,0)),IF($C69="% of Sales",$D69*O$16,IF($C69="Payroll Model",SUMIFS('Payroll Model'!R:R,Payroll_Mappings,'Operating Model'!$A69),IF($C69="Continue Last Month",N69," ")))),IF($A69&gt;0,INDEX(INDIRECT(O$1),MATCH($A69,Profit_and_Loss_Categories,0))," "))</f>
        <v xml:space="preserve"> </v>
      </c>
      <c r="P69" s="68" t="str">
        <f ca="1">IF(AND(P$5&gt;=Forecast_Start_Date,$A69&gt;0),IF($C69="Revenue Model",INDEX(Revenue_Forecast_Array,MATCH(P$5,Revenue_Model_Months,0)),IF($C69="% of Sales",$D69*P$16,IF($C69="Payroll Model",SUMIFS('Payroll Model'!S:S,Payroll_Mappings,'Operating Model'!$A69),IF($C69="Continue Last Month",O69," ")))),IF($A69&gt;0,INDEX(INDIRECT(P$1),MATCH($A69,Profit_and_Loss_Categories,0))," "))</f>
        <v xml:space="preserve"> </v>
      </c>
      <c r="Q69" s="68" t="str">
        <f ca="1">IF(AND(Q$5&gt;=Forecast_Start_Date,$A69&gt;0),IF($C69="Revenue Model",INDEX(Revenue_Forecast_Array,MATCH(Q$5,Revenue_Model_Months,0)),IF($C69="% of Sales",$D69*Q$16,IF($C69="Payroll Model",SUMIFS('Payroll Model'!T:T,Payroll_Mappings,'Operating Model'!$A69),IF($C69="Continue Last Month",P69," ")))),IF($A69&gt;0,INDEX(INDIRECT(Q$1),MATCH($A69,Profit_and_Loss_Categories,0))," "))</f>
        <v xml:space="preserve"> </v>
      </c>
    </row>
    <row r="70" spans="1:17" ht="0.75" customHeight="1" x14ac:dyDescent="0.2">
      <c r="A70" s="82"/>
      <c r="D70" s="103" t="str">
        <f>IF($C70="% of Sales",INDEX(70:70,MATCH(DATE(YEAR(Forecast_Start_Date),MONTH(Forecast_Start_Date)-1,DAY(Forecast_Start_Date)),Operating_Model_Months,0))/INDEX(Total_Income,MATCH(DATE(YEAR(Forecast_Start_Date),MONTH(Forecast_Start_Date)-1,DAY(Forecast_Start_Date)),Operating_Model_Months,0))," ")</f>
        <v xml:space="preserve"> </v>
      </c>
      <c r="F70" s="73" t="str">
        <f ca="1">IF(AND(F$5&gt;=Forecast_Start_Date,$A70&gt;0),IF($C70="Revenue Model",INDEX(Revenue_Forecast_Array,MATCH(F$5,Revenue_Model_Months,0)),IF($C70="% of Sales",$D70*F$16,IF($C70="Payroll Model",SUMIFS('Payroll Model'!I:I,Payroll_Mappings,'Operating Model'!$A70),IF($C70="Continue Last Month",E70," ")))),IF($A70&gt;0,INDEX(INDIRECT(F$1),MATCH($A70,Profit_and_Loss_Categories,0))," "))</f>
        <v xml:space="preserve"> </v>
      </c>
      <c r="G70" s="73" t="str">
        <f ca="1">IF(AND(G$5&gt;=Forecast_Start_Date,$A70&gt;0),IF($C70="Revenue Model",INDEX(Revenue_Forecast_Array,MATCH(G$5,Revenue_Model_Months,0)),IF($C70="% of Sales",$D70*G$16,IF($C70="Payroll Model",SUMIFS('Payroll Model'!J:J,Payroll_Mappings,'Operating Model'!$A70),IF($C70="Continue Last Month",F70," ")))),IF($A70&gt;0,INDEX(INDIRECT(G$1),MATCH($A70,Profit_and_Loss_Categories,0))," "))</f>
        <v xml:space="preserve"> </v>
      </c>
      <c r="H70" s="73" t="str">
        <f ca="1">IF(AND(H$5&gt;=Forecast_Start_Date,$A70&gt;0),IF($C70="Revenue Model",INDEX(Revenue_Forecast_Array,MATCH(H$5,Revenue_Model_Months,0)),IF($C70="% of Sales",$D70*H$16,IF($C70="Payroll Model",SUMIFS('Payroll Model'!K:K,Payroll_Mappings,'Operating Model'!$A70),IF($C70="Continue Last Month",G70," ")))),IF($A70&gt;0,INDEX(INDIRECT(H$1),MATCH($A70,Profit_and_Loss_Categories,0))," "))</f>
        <v xml:space="preserve"> </v>
      </c>
      <c r="I70" s="68" t="str">
        <f ca="1">IF(AND(I$5&gt;=Forecast_Start_Date,$A70&gt;0),IF($C70="Revenue Model",INDEX(Revenue_Forecast_Array,MATCH(I$5,Revenue_Model_Months,0)),IF($C70="% of Sales",$D70*I$16,IF($C70="Payroll Model",SUMIFS('Payroll Model'!L:L,Payroll_Mappings,'Operating Model'!$A70),IF($C70="Continue Last Month",H70," ")))),IF($A70&gt;0,INDEX(INDIRECT(I$1),MATCH($A70,Profit_and_Loss_Categories,0))," "))</f>
        <v xml:space="preserve"> </v>
      </c>
      <c r="J70" s="68" t="str">
        <f ca="1">IF(AND(J$5&gt;=Forecast_Start_Date,$A70&gt;0),IF($C70="Revenue Model",INDEX(Revenue_Forecast_Array,MATCH(J$5,Revenue_Model_Months,0)),IF($C70="% of Sales",$D70*J$16,IF($C70="Payroll Model",SUMIFS('Payroll Model'!M:M,Payroll_Mappings,'Operating Model'!$A70),IF($C70="Continue Last Month",I70," ")))),IF($A70&gt;0,INDEX(INDIRECT(J$1),MATCH($A70,Profit_and_Loss_Categories,0))," "))</f>
        <v xml:space="preserve"> </v>
      </c>
      <c r="K70" s="68" t="str">
        <f ca="1">IF(AND(K$5&gt;=Forecast_Start_Date,$A70&gt;0),IF($C70="Revenue Model",INDEX(Revenue_Forecast_Array,MATCH(K$5,Revenue_Model_Months,0)),IF($C70="% of Sales",$D70*K$16,IF($C70="Payroll Model",SUMIFS('Payroll Model'!N:N,Payroll_Mappings,'Operating Model'!$A70),IF($C70="Continue Last Month",J70," ")))),IF($A70&gt;0,INDEX(INDIRECT(K$1),MATCH($A70,Profit_and_Loss_Categories,0))," "))</f>
        <v xml:space="preserve"> </v>
      </c>
      <c r="L70" s="68" t="str">
        <f ca="1">IF(AND(L$5&gt;=Forecast_Start_Date,$A70&gt;0),IF($C70="Revenue Model",INDEX(Revenue_Forecast_Array,MATCH(L$5,Revenue_Model_Months,0)),IF($C70="% of Sales",$D70*L$16,IF($C70="Payroll Model",SUMIFS('Payroll Model'!O:O,Payroll_Mappings,'Operating Model'!$A70),IF($C70="Continue Last Month",K70," ")))),IF($A70&gt;0,INDEX(INDIRECT(L$1),MATCH($A70,Profit_and_Loss_Categories,0))," "))</f>
        <v xml:space="preserve"> </v>
      </c>
      <c r="M70" s="68" t="str">
        <f ca="1">IF(AND(M$5&gt;=Forecast_Start_Date,$A70&gt;0),IF($C70="Revenue Model",INDEX(Revenue_Forecast_Array,MATCH(M$5,Revenue_Model_Months,0)),IF($C70="% of Sales",$D70*M$16,IF($C70="Payroll Model",SUMIFS('Payroll Model'!P:P,Payroll_Mappings,'Operating Model'!$A70),IF($C70="Continue Last Month",L70," ")))),IF($A70&gt;0,INDEX(INDIRECT(M$1),MATCH($A70,Profit_and_Loss_Categories,0))," "))</f>
        <v xml:space="preserve"> </v>
      </c>
      <c r="N70" s="68" t="str">
        <f ca="1">IF(AND(N$5&gt;=Forecast_Start_Date,$A70&gt;0),IF($C70="Revenue Model",INDEX(Revenue_Forecast_Array,MATCH(N$5,Revenue_Model_Months,0)),IF($C70="% of Sales",$D70*N$16,IF($C70="Payroll Model",SUMIFS('Payroll Model'!Q:Q,Payroll_Mappings,'Operating Model'!$A70),IF($C70="Continue Last Month",M70," ")))),IF($A70&gt;0,INDEX(INDIRECT(N$1),MATCH($A70,Profit_and_Loss_Categories,0))," "))</f>
        <v xml:space="preserve"> </v>
      </c>
      <c r="O70" s="68" t="str">
        <f ca="1">IF(AND(O$5&gt;=Forecast_Start_Date,$A70&gt;0),IF($C70="Revenue Model",INDEX(Revenue_Forecast_Array,MATCH(O$5,Revenue_Model_Months,0)),IF($C70="% of Sales",$D70*O$16,IF($C70="Payroll Model",SUMIFS('Payroll Model'!R:R,Payroll_Mappings,'Operating Model'!$A70),IF($C70="Continue Last Month",N70," ")))),IF($A70&gt;0,INDEX(INDIRECT(O$1),MATCH($A70,Profit_and_Loss_Categories,0))," "))</f>
        <v xml:space="preserve"> </v>
      </c>
      <c r="P70" s="68" t="str">
        <f ca="1">IF(AND(P$5&gt;=Forecast_Start_Date,$A70&gt;0),IF($C70="Revenue Model",INDEX(Revenue_Forecast_Array,MATCH(P$5,Revenue_Model_Months,0)),IF($C70="% of Sales",$D70*P$16,IF($C70="Payroll Model",SUMIFS('Payroll Model'!S:S,Payroll_Mappings,'Operating Model'!$A70),IF($C70="Continue Last Month",O70," ")))),IF($A70&gt;0,INDEX(INDIRECT(P$1),MATCH($A70,Profit_and_Loss_Categories,0))," "))</f>
        <v xml:space="preserve"> </v>
      </c>
      <c r="Q70" s="68" t="str">
        <f ca="1">IF(AND(Q$5&gt;=Forecast_Start_Date,$A70&gt;0),IF($C70="Revenue Model",INDEX(Revenue_Forecast_Array,MATCH(Q$5,Revenue_Model_Months,0)),IF($C70="% of Sales",$D70*Q$16,IF($C70="Payroll Model",SUMIFS('Payroll Model'!T:T,Payroll_Mappings,'Operating Model'!$A70),IF($C70="Continue Last Month",P70," ")))),IF($A70&gt;0,INDEX(INDIRECT(Q$1),MATCH($A70,Profit_and_Loss_Categories,0))," "))</f>
        <v xml:space="preserve"> </v>
      </c>
    </row>
    <row r="71" spans="1:17" s="19" customFormat="1" x14ac:dyDescent="0.2">
      <c r="A71" s="19" t="s">
        <v>35</v>
      </c>
      <c r="B71" s="76"/>
      <c r="C71" s="75"/>
      <c r="D71" s="75"/>
      <c r="E71" s="76"/>
      <c r="F71" s="77">
        <f t="shared" ref="F71:Q71" ca="1" si="7">SUM(F32:F70)</f>
        <v>15853.333333333332</v>
      </c>
      <c r="G71" s="77">
        <f t="shared" ca="1" si="7"/>
        <v>24936.666666666668</v>
      </c>
      <c r="H71" s="77">
        <f t="shared" ca="1" si="7"/>
        <v>33820</v>
      </c>
      <c r="I71" s="77">
        <f t="shared" ca="1" si="7"/>
        <v>0</v>
      </c>
      <c r="J71" s="77">
        <f t="shared" ca="1" si="7"/>
        <v>0</v>
      </c>
      <c r="K71" s="77">
        <f t="shared" ca="1" si="7"/>
        <v>0</v>
      </c>
      <c r="L71" s="77">
        <f t="shared" ca="1" si="7"/>
        <v>0</v>
      </c>
      <c r="M71" s="77">
        <f t="shared" ca="1" si="7"/>
        <v>0</v>
      </c>
      <c r="N71" s="77">
        <f t="shared" ca="1" si="7"/>
        <v>0</v>
      </c>
      <c r="O71" s="77">
        <f t="shared" ca="1" si="7"/>
        <v>0</v>
      </c>
      <c r="P71" s="77">
        <f t="shared" ca="1" si="7"/>
        <v>0</v>
      </c>
      <c r="Q71" s="77">
        <f t="shared" ca="1" si="7"/>
        <v>0</v>
      </c>
    </row>
    <row r="72" spans="1:17" s="129" customFormat="1" x14ac:dyDescent="0.2">
      <c r="A72" s="124" t="s">
        <v>87</v>
      </c>
      <c r="B72" s="125"/>
      <c r="C72" s="126"/>
      <c r="D72" s="126"/>
      <c r="E72" s="125"/>
      <c r="F72" s="127">
        <f ca="1">INDEX(INDIRECT(F$1),MATCH("Total Expenses",Profit_and_Loss_Categories,0))-F71</f>
        <v>0</v>
      </c>
      <c r="G72" s="127">
        <f ca="1">INDEX(INDIRECT(G$1),MATCH("Total Expenses",Profit_and_Loss_Categories,0))-G71</f>
        <v>0</v>
      </c>
      <c r="H72" s="127">
        <f ca="1">INDEX(INDIRECT(H$1),MATCH("Total Expenses",Profit_and_Loss_Categories,0))-H71</f>
        <v>0</v>
      </c>
      <c r="I72" s="128"/>
      <c r="J72" s="128"/>
      <c r="K72" s="128"/>
      <c r="L72" s="128"/>
      <c r="M72" s="128"/>
      <c r="N72" s="128"/>
      <c r="O72" s="128"/>
      <c r="P72" s="128"/>
      <c r="Q72" s="128"/>
    </row>
    <row r="73" spans="1:17" s="129" customFormat="1" x14ac:dyDescent="0.2">
      <c r="A73" s="19" t="s">
        <v>149</v>
      </c>
      <c r="B73" s="76"/>
      <c r="C73" s="75"/>
      <c r="D73" s="75"/>
      <c r="E73" s="76"/>
      <c r="F73" s="77">
        <f ca="1">F29-F71</f>
        <v>-8593.3333333333321</v>
      </c>
      <c r="G73" s="77">
        <f t="shared" ref="G73:Q73" ca="1" si="8">G29-G71</f>
        <v>-13676.666666666668</v>
      </c>
      <c r="H73" s="77">
        <f t="shared" ca="1" si="8"/>
        <v>-18560</v>
      </c>
      <c r="I73" s="77">
        <f t="shared" ca="1" si="8"/>
        <v>0</v>
      </c>
      <c r="J73" s="77">
        <f t="shared" ca="1" si="8"/>
        <v>0</v>
      </c>
      <c r="K73" s="77">
        <f t="shared" ca="1" si="8"/>
        <v>0</v>
      </c>
      <c r="L73" s="77">
        <f t="shared" ca="1" si="8"/>
        <v>0</v>
      </c>
      <c r="M73" s="77">
        <f t="shared" ca="1" si="8"/>
        <v>0</v>
      </c>
      <c r="N73" s="77">
        <f t="shared" ca="1" si="8"/>
        <v>0</v>
      </c>
      <c r="O73" s="77">
        <f t="shared" ca="1" si="8"/>
        <v>0</v>
      </c>
      <c r="P73" s="77">
        <f t="shared" ca="1" si="8"/>
        <v>0</v>
      </c>
      <c r="Q73" s="77">
        <f t="shared" ca="1" si="8"/>
        <v>0</v>
      </c>
    </row>
    <row r="74" spans="1:17" s="129" customFormat="1" x14ac:dyDescent="0.2">
      <c r="A74" s="123" t="s">
        <v>145</v>
      </c>
      <c r="B74" s="125"/>
      <c r="C74" s="126"/>
      <c r="D74" s="126"/>
      <c r="E74" s="125"/>
      <c r="F74" s="73"/>
      <c r="G74" s="73"/>
      <c r="H74" s="73"/>
      <c r="I74" s="68"/>
      <c r="J74" s="68"/>
      <c r="K74" s="68"/>
      <c r="L74" s="68"/>
      <c r="M74" s="68"/>
      <c r="N74" s="68"/>
      <c r="O74" s="68"/>
      <c r="P74" s="68"/>
      <c r="Q74" s="68"/>
    </row>
    <row r="75" spans="1:17" s="129" customFormat="1" x14ac:dyDescent="0.2">
      <c r="A75" s="120"/>
      <c r="B75" s="125"/>
      <c r="C75" s="126"/>
      <c r="D75" s="126"/>
      <c r="E75" s="125"/>
      <c r="F75" s="73" t="str">
        <f ca="1">IF(AND(F$5&gt;=Forecast_Start_Date,$A75&gt;0),IF($C75="Revenue Model",INDEX(Revenue_Forecast_Array,MATCH(F$5,Revenue_Model_Months,0)),IF($C75="% of Sales",$D75*F$16,IF($C75="Payroll Model",SUMIFS('Payroll Model'!I:I,Payroll_Mappings,'Operating Model'!$A75),IF($C75="Continue Last Month",E75," ")))),IF($A75&gt;0,INDEX(INDIRECT(F$1),MATCH($A75,Profit_and_Loss_Categories,0))," "))</f>
        <v xml:space="preserve"> </v>
      </c>
      <c r="G75" s="73" t="str">
        <f ca="1">IF(AND(G$5&gt;=Forecast_Start_Date,$A75&gt;0),IF($C75="Revenue Model",INDEX(Revenue_Forecast_Array,MATCH(G$5,Revenue_Model_Months,0)),IF($C75="% of Sales",$D75*G$16,IF($C75="Payroll Model",SUMIFS('Payroll Model'!J:J,Payroll_Mappings,'Operating Model'!$A75),IF($C75="Continue Last Month",F75," ")))),IF($A75&gt;0,INDEX(INDIRECT(G$1),MATCH($A75,Profit_and_Loss_Categories,0))," "))</f>
        <v xml:space="preserve"> </v>
      </c>
      <c r="H75" s="73" t="str">
        <f ca="1">IF(AND(H$5&gt;=Forecast_Start_Date,$A75&gt;0),IF($C75="Revenue Model",INDEX(Revenue_Forecast_Array,MATCH(H$5,Revenue_Model_Months,0)),IF($C75="% of Sales",$D75*H$16,IF($C75="Payroll Model",SUMIFS('Payroll Model'!K:K,Payroll_Mappings,'Operating Model'!$A75),IF($C75="Continue Last Month",G75," ")))),IF($A75&gt;0,INDEX(INDIRECT(H$1),MATCH($A75,Profit_and_Loss_Categories,0))," "))</f>
        <v xml:space="preserve"> </v>
      </c>
      <c r="I75" s="68" t="str">
        <f ca="1">IF(AND(I$5&gt;=Forecast_Start_Date,$A75&gt;0),IF($C75="Revenue Model",INDEX(Revenue_Forecast_Array,MATCH(I$5,Revenue_Model_Months,0)),IF($C75="% of Sales",$D75*I$16,IF($C75="Payroll Model",SUMIFS('Payroll Model'!L:L,Payroll_Mappings,'Operating Model'!$A75),IF($C75="Continue Last Month",H75," ")))),IF($A75&gt;0,INDEX(INDIRECT(I$1),MATCH($A75,Profit_and_Loss_Categories,0))," "))</f>
        <v xml:space="preserve"> </v>
      </c>
      <c r="J75" s="68" t="str">
        <f ca="1">IF(AND(J$5&gt;=Forecast_Start_Date,$A75&gt;0),IF($C75="Revenue Model",INDEX(Revenue_Forecast_Array,MATCH(J$5,Revenue_Model_Months,0)),IF($C75="% of Sales",$D75*J$16,IF($C75="Payroll Model",SUMIFS('Payroll Model'!M:M,Payroll_Mappings,'Operating Model'!$A75),IF($C75="Continue Last Month",I75," ")))),IF($A75&gt;0,INDEX(INDIRECT(J$1),MATCH($A75,Profit_and_Loss_Categories,0))," "))</f>
        <v xml:space="preserve"> </v>
      </c>
      <c r="K75" s="68" t="str">
        <f ca="1">IF(AND(K$5&gt;=Forecast_Start_Date,$A75&gt;0),IF($C75="Revenue Model",INDEX(Revenue_Forecast_Array,MATCH(K$5,Revenue_Model_Months,0)),IF($C75="% of Sales",$D75*K$16,IF($C75="Payroll Model",SUMIFS('Payroll Model'!N:N,Payroll_Mappings,'Operating Model'!$A75),IF($C75="Continue Last Month",J75," ")))),IF($A75&gt;0,INDEX(INDIRECT(K$1),MATCH($A75,Profit_and_Loss_Categories,0))," "))</f>
        <v xml:space="preserve"> </v>
      </c>
      <c r="L75" s="68" t="str">
        <f ca="1">IF(AND(L$5&gt;=Forecast_Start_Date,$A75&gt;0),IF($C75="Revenue Model",INDEX(Revenue_Forecast_Array,MATCH(L$5,Revenue_Model_Months,0)),IF($C75="% of Sales",$D75*L$16,IF($C75="Payroll Model",SUMIFS('Payroll Model'!O:O,Payroll_Mappings,'Operating Model'!$A75),IF($C75="Continue Last Month",K75," ")))),IF($A75&gt;0,INDEX(INDIRECT(L$1),MATCH($A75,Profit_and_Loss_Categories,0))," "))</f>
        <v xml:space="preserve"> </v>
      </c>
      <c r="M75" s="68" t="str">
        <f ca="1">IF(AND(M$5&gt;=Forecast_Start_Date,$A75&gt;0),IF($C75="Revenue Model",INDEX(Revenue_Forecast_Array,MATCH(M$5,Revenue_Model_Months,0)),IF($C75="% of Sales",$D75*M$16,IF($C75="Payroll Model",SUMIFS('Payroll Model'!P:P,Payroll_Mappings,'Operating Model'!$A75),IF($C75="Continue Last Month",L75," ")))),IF($A75&gt;0,INDEX(INDIRECT(M$1),MATCH($A75,Profit_and_Loss_Categories,0))," "))</f>
        <v xml:space="preserve"> </v>
      </c>
      <c r="N75" s="68" t="str">
        <f ca="1">IF(AND(N$5&gt;=Forecast_Start_Date,$A75&gt;0),IF($C75="Revenue Model",INDEX(Revenue_Forecast_Array,MATCH(N$5,Revenue_Model_Months,0)),IF($C75="% of Sales",$D75*N$16,IF($C75="Payroll Model",SUMIFS('Payroll Model'!Q:Q,Payroll_Mappings,'Operating Model'!$A75),IF($C75="Continue Last Month",M75," ")))),IF($A75&gt;0,INDEX(INDIRECT(N$1),MATCH($A75,Profit_and_Loss_Categories,0))," "))</f>
        <v xml:space="preserve"> </v>
      </c>
      <c r="O75" s="68" t="str">
        <f ca="1">IF(AND(O$5&gt;=Forecast_Start_Date,$A75&gt;0),IF($C75="Revenue Model",INDEX(Revenue_Forecast_Array,MATCH(O$5,Revenue_Model_Months,0)),IF($C75="% of Sales",$D75*O$16,IF($C75="Payroll Model",SUMIFS('Payroll Model'!R:R,Payroll_Mappings,'Operating Model'!$A75),IF($C75="Continue Last Month",N75," ")))),IF($A75&gt;0,INDEX(INDIRECT(O$1),MATCH($A75,Profit_and_Loss_Categories,0))," "))</f>
        <v xml:space="preserve"> </v>
      </c>
      <c r="P75" s="68" t="str">
        <f ca="1">IF(AND(P$5&gt;=Forecast_Start_Date,$A75&gt;0),IF($C75="Revenue Model",INDEX(Revenue_Forecast_Array,MATCH(P$5,Revenue_Model_Months,0)),IF($C75="% of Sales",$D75*P$16,IF($C75="Payroll Model",SUMIFS('Payroll Model'!S:S,Payroll_Mappings,'Operating Model'!$A75),IF($C75="Continue Last Month",O75," ")))),IF($A75&gt;0,INDEX(INDIRECT(P$1),MATCH($A75,Profit_and_Loss_Categories,0))," "))</f>
        <v xml:space="preserve"> </v>
      </c>
      <c r="Q75" s="68" t="str">
        <f ca="1">IF(AND(Q$5&gt;=Forecast_Start_Date,$A75&gt;0),IF($C75="Revenue Model",INDEX(Revenue_Forecast_Array,MATCH(Q$5,Revenue_Model_Months,0)),IF($C75="% of Sales",$D75*Q$16,IF($C75="Payroll Model",SUMIFS('Payroll Model'!T:T,Payroll_Mappings,'Operating Model'!$A75),IF($C75="Continue Last Month",P75," ")))),IF($A75&gt;0,INDEX(INDIRECT(Q$1),MATCH($A75,Profit_and_Loss_Categories,0))," "))</f>
        <v xml:space="preserve"> </v>
      </c>
    </row>
    <row r="76" spans="1:17" s="129" customFormat="1" x14ac:dyDescent="0.2">
      <c r="A76" s="130">
        <v>0</v>
      </c>
      <c r="B76" s="125"/>
      <c r="C76" s="126"/>
      <c r="D76" s="126"/>
      <c r="E76" s="125"/>
      <c r="F76" s="73" t="str">
        <f ca="1">IF(AND(F$5&gt;=Forecast_Start_Date,$A76&gt;0),IF($C76="Revenue Model",INDEX(Revenue_Forecast_Array,MATCH(F$5,Revenue_Model_Months,0)),IF($C76="% of Sales",$D76*F$16,IF($C76="Payroll Model",SUMIFS('Payroll Model'!I:I,Payroll_Mappings,'Operating Model'!$A76),IF($C76="Continue Last Month",E76," ")))),IF($A76&gt;0,INDEX(INDIRECT(F$1),MATCH($A76,Profit_and_Loss_Categories,0))," "))</f>
        <v xml:space="preserve"> </v>
      </c>
      <c r="G76" s="73" t="str">
        <f ca="1">IF(AND(G$5&gt;=Forecast_Start_Date,$A76&gt;0),IF($C76="Revenue Model",INDEX(Revenue_Forecast_Array,MATCH(G$5,Revenue_Model_Months,0)),IF($C76="% of Sales",$D76*G$16,IF($C76="Payroll Model",SUMIFS('Payroll Model'!J:J,Payroll_Mappings,'Operating Model'!$A76),IF($C76="Continue Last Month",F76," ")))),IF($A76&gt;0,INDEX(INDIRECT(G$1),MATCH($A76,Profit_and_Loss_Categories,0))," "))</f>
        <v xml:space="preserve"> </v>
      </c>
      <c r="H76" s="73" t="str">
        <f ca="1">IF(AND(H$5&gt;=Forecast_Start_Date,$A76&gt;0),IF($C76="Revenue Model",INDEX(Revenue_Forecast_Array,MATCH(H$5,Revenue_Model_Months,0)),IF($C76="% of Sales",$D76*H$16,IF($C76="Payroll Model",SUMIFS('Payroll Model'!K:K,Payroll_Mappings,'Operating Model'!$A76),IF($C76="Continue Last Month",G76," ")))),IF($A76&gt;0,INDEX(INDIRECT(H$1),MATCH($A76,Profit_and_Loss_Categories,0))," "))</f>
        <v xml:space="preserve"> </v>
      </c>
      <c r="I76" s="68" t="str">
        <f ca="1">IF(AND(I$5&gt;=Forecast_Start_Date,$A76&gt;0),IF($C76="Revenue Model",INDEX(Revenue_Forecast_Array,MATCH(I$5,Revenue_Model_Months,0)),IF($C76="% of Sales",$D76*I$16,IF($C76="Payroll Model",SUMIFS('Payroll Model'!L:L,Payroll_Mappings,'Operating Model'!$A76),IF($C76="Continue Last Month",H76," ")))),IF($A76&gt;0,INDEX(INDIRECT(I$1),MATCH($A76,Profit_and_Loss_Categories,0))," "))</f>
        <v xml:space="preserve"> </v>
      </c>
      <c r="J76" s="68" t="str">
        <f ca="1">IF(AND(J$5&gt;=Forecast_Start_Date,$A76&gt;0),IF($C76="Revenue Model",INDEX(Revenue_Forecast_Array,MATCH(J$5,Revenue_Model_Months,0)),IF($C76="% of Sales",$D76*J$16,IF($C76="Payroll Model",SUMIFS('Payroll Model'!M:M,Payroll_Mappings,'Operating Model'!$A76),IF($C76="Continue Last Month",I76," ")))),IF($A76&gt;0,INDEX(INDIRECT(J$1),MATCH($A76,Profit_and_Loss_Categories,0))," "))</f>
        <v xml:space="preserve"> </v>
      </c>
      <c r="K76" s="68" t="str">
        <f ca="1">IF(AND(K$5&gt;=Forecast_Start_Date,$A76&gt;0),IF($C76="Revenue Model",INDEX(Revenue_Forecast_Array,MATCH(K$5,Revenue_Model_Months,0)),IF($C76="% of Sales",$D76*K$16,IF($C76="Payroll Model",SUMIFS('Payroll Model'!N:N,Payroll_Mappings,'Operating Model'!$A76),IF($C76="Continue Last Month",J76," ")))),IF($A76&gt;0,INDEX(INDIRECT(K$1),MATCH($A76,Profit_and_Loss_Categories,0))," "))</f>
        <v xml:space="preserve"> </v>
      </c>
      <c r="L76" s="68" t="str">
        <f ca="1">IF(AND(L$5&gt;=Forecast_Start_Date,$A76&gt;0),IF($C76="Revenue Model",INDEX(Revenue_Forecast_Array,MATCH(L$5,Revenue_Model_Months,0)),IF($C76="% of Sales",$D76*L$16,IF($C76="Payroll Model",SUMIFS('Payroll Model'!O:O,Payroll_Mappings,'Operating Model'!$A76),IF($C76="Continue Last Month",K76," ")))),IF($A76&gt;0,INDEX(INDIRECT(L$1),MATCH($A76,Profit_and_Loss_Categories,0))," "))</f>
        <v xml:space="preserve"> </v>
      </c>
      <c r="M76" s="68" t="str">
        <f ca="1">IF(AND(M$5&gt;=Forecast_Start_Date,$A76&gt;0),IF($C76="Revenue Model",INDEX(Revenue_Forecast_Array,MATCH(M$5,Revenue_Model_Months,0)),IF($C76="% of Sales",$D76*M$16,IF($C76="Payroll Model",SUMIFS('Payroll Model'!P:P,Payroll_Mappings,'Operating Model'!$A76),IF($C76="Continue Last Month",L76," ")))),IF($A76&gt;0,INDEX(INDIRECT(M$1),MATCH($A76,Profit_and_Loss_Categories,0))," "))</f>
        <v xml:space="preserve"> </v>
      </c>
      <c r="N76" s="68" t="str">
        <f ca="1">IF(AND(N$5&gt;=Forecast_Start_Date,$A76&gt;0),IF($C76="Revenue Model",INDEX(Revenue_Forecast_Array,MATCH(N$5,Revenue_Model_Months,0)),IF($C76="% of Sales",$D76*N$16,IF($C76="Payroll Model",SUMIFS('Payroll Model'!Q:Q,Payroll_Mappings,'Operating Model'!$A76),IF($C76="Continue Last Month",M76," ")))),IF($A76&gt;0,INDEX(INDIRECT(N$1),MATCH($A76,Profit_and_Loss_Categories,0))," "))</f>
        <v xml:space="preserve"> </v>
      </c>
      <c r="O76" s="68" t="str">
        <f ca="1">IF(AND(O$5&gt;=Forecast_Start_Date,$A76&gt;0),IF($C76="Revenue Model",INDEX(Revenue_Forecast_Array,MATCH(O$5,Revenue_Model_Months,0)),IF($C76="% of Sales",$D76*O$16,IF($C76="Payroll Model",SUMIFS('Payroll Model'!R:R,Payroll_Mappings,'Operating Model'!$A76),IF($C76="Continue Last Month",N76," ")))),IF($A76&gt;0,INDEX(INDIRECT(O$1),MATCH($A76,Profit_and_Loss_Categories,0))," "))</f>
        <v xml:space="preserve"> </v>
      </c>
      <c r="P76" s="68" t="str">
        <f ca="1">IF(AND(P$5&gt;=Forecast_Start_Date,$A76&gt;0),IF($C76="Revenue Model",INDEX(Revenue_Forecast_Array,MATCH(P$5,Revenue_Model_Months,0)),IF($C76="% of Sales",$D76*P$16,IF($C76="Payroll Model",SUMIFS('Payroll Model'!S:S,Payroll_Mappings,'Operating Model'!$A76),IF($C76="Continue Last Month",O76," ")))),IF($A76&gt;0,INDEX(INDIRECT(P$1),MATCH($A76,Profit_and_Loss_Categories,0))," "))</f>
        <v xml:space="preserve"> </v>
      </c>
      <c r="Q76" s="68" t="str">
        <f ca="1">IF(AND(Q$5&gt;=Forecast_Start_Date,$A76&gt;0),IF($C76="Revenue Model",INDEX(Revenue_Forecast_Array,MATCH(Q$5,Revenue_Model_Months,0)),IF($C76="% of Sales",$D76*Q$16,IF($C76="Payroll Model",SUMIFS('Payroll Model'!T:T,Payroll_Mappings,'Operating Model'!$A76),IF($C76="Continue Last Month",P76," ")))),IF($A76&gt;0,INDEX(INDIRECT(Q$1),MATCH($A76,Profit_and_Loss_Categories,0))," "))</f>
        <v xml:space="preserve"> </v>
      </c>
    </row>
    <row r="77" spans="1:17" ht="0.75" customHeight="1" x14ac:dyDescent="0.2">
      <c r="A77" s="82"/>
      <c r="D77" s="103" t="str">
        <f>IF($C77="% of Sales",INDEX(77:77,MATCH(DATE(YEAR(Forecast_Start_Date),MONTH(Forecast_Start_Date)-1,DAY(Forecast_Start_Date)),Operating_Model_Months,0))/INDEX(Total_Income,MATCH(DATE(YEAR(Forecast_Start_Date),MONTH(Forecast_Start_Date)-1,DAY(Forecast_Start_Date)),Operating_Model_Months,0))," ")</f>
        <v xml:space="preserve"> </v>
      </c>
      <c r="F77" s="73" t="str">
        <f ca="1">IF(AND(F$5&gt;=Forecast_Start_Date,$A77&gt;0),IF($C77="Revenue Model",INDEX(Revenue_Forecast_Array,MATCH(F$5,Revenue_Model_Months,0)),IF($C77="% of Sales",$D77*F$16,IF($C77="Payroll Model",SUMIFS('Payroll Model'!I:I,Payroll_Mappings,'Operating Model'!$A77),IF($C77="Continue Last Month",E77," ")))),IF($A77&gt;0,INDEX(INDIRECT(F$1),MATCH($A77,Profit_and_Loss_Categories,0))," "))</f>
        <v xml:space="preserve"> </v>
      </c>
      <c r="G77" s="73" t="str">
        <f ca="1">IF(AND(G$5&gt;=Forecast_Start_Date,$A77&gt;0),IF($C77="Revenue Model",INDEX(Revenue_Forecast_Array,MATCH(G$5,Revenue_Model_Months,0)),IF($C77="% of Sales",$D77*G$16,IF($C77="Payroll Model",SUMIFS('Payroll Model'!J:J,Payroll_Mappings,'Operating Model'!$A77),IF($C77="Continue Last Month",F77," ")))),IF($A77&gt;0,INDEX(INDIRECT(G$1),MATCH($A77,Profit_and_Loss_Categories,0))," "))</f>
        <v xml:space="preserve"> </v>
      </c>
      <c r="H77" s="73" t="str">
        <f ca="1">IF(AND(H$5&gt;=Forecast_Start_Date,$A77&gt;0),IF($C77="Revenue Model",INDEX(Revenue_Forecast_Array,MATCH(H$5,Revenue_Model_Months,0)),IF($C77="% of Sales",$D77*H$16,IF($C77="Payroll Model",SUMIFS('Payroll Model'!K:K,Payroll_Mappings,'Operating Model'!$A77),IF($C77="Continue Last Month",G77," ")))),IF($A77&gt;0,INDEX(INDIRECT(H$1),MATCH($A77,Profit_and_Loss_Categories,0))," "))</f>
        <v xml:space="preserve"> </v>
      </c>
      <c r="I77" s="68" t="str">
        <f ca="1">IF(AND(I$5&gt;=Forecast_Start_Date,$A77&gt;0),IF($C77="Revenue Model",INDEX(Revenue_Forecast_Array,MATCH(I$5,Revenue_Model_Months,0)),IF($C77="% of Sales",$D77*I$16,IF($C77="Payroll Model",SUMIFS('Payroll Model'!L:L,Payroll_Mappings,'Operating Model'!$A77),IF($C77="Continue Last Month",H77," ")))),IF($A77&gt;0,INDEX(INDIRECT(I$1),MATCH($A77,Profit_and_Loss_Categories,0))," "))</f>
        <v xml:space="preserve"> </v>
      </c>
      <c r="J77" s="68" t="str">
        <f ca="1">IF(AND(J$5&gt;=Forecast_Start_Date,$A77&gt;0),IF($C77="Revenue Model",INDEX(Revenue_Forecast_Array,MATCH(J$5,Revenue_Model_Months,0)),IF($C77="% of Sales",$D77*J$16,IF($C77="Payroll Model",SUMIFS('Payroll Model'!M:M,Payroll_Mappings,'Operating Model'!$A77),IF($C77="Continue Last Month",I77," ")))),IF($A77&gt;0,INDEX(INDIRECT(J$1),MATCH($A77,Profit_and_Loss_Categories,0))," "))</f>
        <v xml:space="preserve"> </v>
      </c>
      <c r="K77" s="68" t="str">
        <f ca="1">IF(AND(K$5&gt;=Forecast_Start_Date,$A77&gt;0),IF($C77="Revenue Model",INDEX(Revenue_Forecast_Array,MATCH(K$5,Revenue_Model_Months,0)),IF($C77="% of Sales",$D77*K$16,IF($C77="Payroll Model",SUMIFS('Payroll Model'!N:N,Payroll_Mappings,'Operating Model'!$A77),IF($C77="Continue Last Month",J77," ")))),IF($A77&gt;0,INDEX(INDIRECT(K$1),MATCH($A77,Profit_and_Loss_Categories,0))," "))</f>
        <v xml:space="preserve"> </v>
      </c>
      <c r="L77" s="68" t="str">
        <f ca="1">IF(AND(L$5&gt;=Forecast_Start_Date,$A77&gt;0),IF($C77="Revenue Model",INDEX(Revenue_Forecast_Array,MATCH(L$5,Revenue_Model_Months,0)),IF($C77="% of Sales",$D77*L$16,IF($C77="Payroll Model",SUMIFS('Payroll Model'!O:O,Payroll_Mappings,'Operating Model'!$A77),IF($C77="Continue Last Month",K77," ")))),IF($A77&gt;0,INDEX(INDIRECT(L$1),MATCH($A77,Profit_and_Loss_Categories,0))," "))</f>
        <v xml:space="preserve"> </v>
      </c>
      <c r="M77" s="68" t="str">
        <f ca="1">IF(AND(M$5&gt;=Forecast_Start_Date,$A77&gt;0),IF($C77="Revenue Model",INDEX(Revenue_Forecast_Array,MATCH(M$5,Revenue_Model_Months,0)),IF($C77="% of Sales",$D77*M$16,IF($C77="Payroll Model",SUMIFS('Payroll Model'!P:P,Payroll_Mappings,'Operating Model'!$A77),IF($C77="Continue Last Month",L77," ")))),IF($A77&gt;0,INDEX(INDIRECT(M$1),MATCH($A77,Profit_and_Loss_Categories,0))," "))</f>
        <v xml:space="preserve"> </v>
      </c>
      <c r="N77" s="68" t="str">
        <f ca="1">IF(AND(N$5&gt;=Forecast_Start_Date,$A77&gt;0),IF($C77="Revenue Model",INDEX(Revenue_Forecast_Array,MATCH(N$5,Revenue_Model_Months,0)),IF($C77="% of Sales",$D77*N$16,IF($C77="Payroll Model",SUMIFS('Payroll Model'!Q:Q,Payroll_Mappings,'Operating Model'!$A77),IF($C77="Continue Last Month",M77," ")))),IF($A77&gt;0,INDEX(INDIRECT(N$1),MATCH($A77,Profit_and_Loss_Categories,0))," "))</f>
        <v xml:space="preserve"> </v>
      </c>
      <c r="O77" s="68" t="str">
        <f ca="1">IF(AND(O$5&gt;=Forecast_Start_Date,$A77&gt;0),IF($C77="Revenue Model",INDEX(Revenue_Forecast_Array,MATCH(O$5,Revenue_Model_Months,0)),IF($C77="% of Sales",$D77*O$16,IF($C77="Payroll Model",SUMIFS('Payroll Model'!R:R,Payroll_Mappings,'Operating Model'!$A77),IF($C77="Continue Last Month",N77," ")))),IF($A77&gt;0,INDEX(INDIRECT(O$1),MATCH($A77,Profit_and_Loss_Categories,0))," "))</f>
        <v xml:space="preserve"> </v>
      </c>
      <c r="P77" s="68" t="str">
        <f ca="1">IF(AND(P$5&gt;=Forecast_Start_Date,$A77&gt;0),IF($C77="Revenue Model",INDEX(Revenue_Forecast_Array,MATCH(P$5,Revenue_Model_Months,0)),IF($C77="% of Sales",$D77*P$16,IF($C77="Payroll Model",SUMIFS('Payroll Model'!S:S,Payroll_Mappings,'Operating Model'!$A77),IF($C77="Continue Last Month",O77," ")))),IF($A77&gt;0,INDEX(INDIRECT(P$1),MATCH($A77,Profit_and_Loss_Categories,0))," "))</f>
        <v xml:space="preserve"> </v>
      </c>
      <c r="Q77" s="68" t="str">
        <f ca="1">IF(AND(Q$5&gt;=Forecast_Start_Date,$A77&gt;0),IF($C77="Revenue Model",INDEX(Revenue_Forecast_Array,MATCH(Q$5,Revenue_Model_Months,0)),IF($C77="% of Sales",$D77*Q$16,IF($C77="Payroll Model",SUMIFS('Payroll Model'!T:T,Payroll_Mappings,'Operating Model'!$A77),IF($C77="Continue Last Month",P77," ")))),IF($A77&gt;0,INDEX(INDIRECT(Q$1),MATCH($A77,Profit_and_Loss_Categories,0))," "))</f>
        <v xml:space="preserve"> </v>
      </c>
    </row>
    <row r="78" spans="1:17" s="19" customFormat="1" x14ac:dyDescent="0.2">
      <c r="A78" s="19" t="s">
        <v>148</v>
      </c>
      <c r="B78" s="76"/>
      <c r="C78" s="75"/>
      <c r="D78" s="75"/>
      <c r="E78" s="76"/>
      <c r="F78" s="77">
        <f ca="1">SUM(F74:F77)</f>
        <v>0</v>
      </c>
      <c r="G78" s="77">
        <f t="shared" ref="G78:Q78" ca="1" si="9">SUM(G74:G77)</f>
        <v>0</v>
      </c>
      <c r="H78" s="77">
        <f t="shared" ca="1" si="9"/>
        <v>0</v>
      </c>
      <c r="I78" s="77">
        <f t="shared" ca="1" si="9"/>
        <v>0</v>
      </c>
      <c r="J78" s="77">
        <f t="shared" ca="1" si="9"/>
        <v>0</v>
      </c>
      <c r="K78" s="77">
        <f t="shared" ca="1" si="9"/>
        <v>0</v>
      </c>
      <c r="L78" s="77">
        <f t="shared" ca="1" si="9"/>
        <v>0</v>
      </c>
      <c r="M78" s="77">
        <f t="shared" ca="1" si="9"/>
        <v>0</v>
      </c>
      <c r="N78" s="77">
        <f t="shared" ca="1" si="9"/>
        <v>0</v>
      </c>
      <c r="O78" s="77">
        <f t="shared" ca="1" si="9"/>
        <v>0</v>
      </c>
      <c r="P78" s="77">
        <f t="shared" ca="1" si="9"/>
        <v>0</v>
      </c>
      <c r="Q78" s="77">
        <f t="shared" ca="1" si="9"/>
        <v>0</v>
      </c>
    </row>
    <row r="79" spans="1:17" s="129" customFormat="1" x14ac:dyDescent="0.2">
      <c r="A79" s="123" t="s">
        <v>146</v>
      </c>
      <c r="B79" s="125"/>
      <c r="C79" s="126"/>
      <c r="D79" s="126"/>
      <c r="E79" s="125"/>
      <c r="F79" s="125"/>
      <c r="G79" s="125"/>
      <c r="H79" s="125"/>
      <c r="I79" s="128"/>
      <c r="J79" s="128"/>
      <c r="K79" s="128"/>
      <c r="L79" s="128"/>
      <c r="M79" s="128"/>
      <c r="N79" s="128"/>
      <c r="O79" s="128"/>
      <c r="P79" s="128"/>
      <c r="Q79" s="128"/>
    </row>
    <row r="80" spans="1:17" s="129" customFormat="1" x14ac:dyDescent="0.2">
      <c r="A80" s="120"/>
      <c r="B80" s="125"/>
      <c r="C80" s="126"/>
      <c r="D80" s="126"/>
      <c r="E80" s="125"/>
      <c r="F80" s="73" t="str">
        <f ca="1">IF(AND(F$5&gt;=Forecast_Start_Date,$A80&gt;0),IF($C80="Revenue Model",INDEX(Revenue_Forecast_Array,MATCH(F$5,Revenue_Model_Months,0)),IF($C80="% of Sales",$D80*F$16,IF($C80="Payroll Model",SUMIFS('Payroll Model'!I:I,Payroll_Mappings,'Operating Model'!$A80),IF($C80="Continue Last Month",E80," ")))),IF($A80&gt;0,INDEX(INDIRECT(F$1),MATCH($A80,Profit_and_Loss_Categories,0))," "))</f>
        <v xml:space="preserve"> </v>
      </c>
      <c r="G80" s="73" t="str">
        <f ca="1">IF(AND(G$5&gt;=Forecast_Start_Date,$A80&gt;0),IF($C80="Revenue Model",INDEX(Revenue_Forecast_Array,MATCH(G$5,Revenue_Model_Months,0)),IF($C80="% of Sales",$D80*G$16,IF($C80="Payroll Model",SUMIFS('Payroll Model'!J:J,Payroll_Mappings,'Operating Model'!$A80),IF($C80="Continue Last Month",F80," ")))),IF($A80&gt;0,INDEX(INDIRECT(G$1),MATCH($A80,Profit_and_Loss_Categories,0))," "))</f>
        <v xml:space="preserve"> </v>
      </c>
      <c r="H80" s="73" t="str">
        <f ca="1">IF(AND(H$5&gt;=Forecast_Start_Date,$A80&gt;0),IF($C80="Revenue Model",INDEX(Revenue_Forecast_Array,MATCH(H$5,Revenue_Model_Months,0)),IF($C80="% of Sales",$D80*H$16,IF($C80="Payroll Model",SUMIFS('Payroll Model'!K:K,Payroll_Mappings,'Operating Model'!$A80),IF($C80="Continue Last Month",G80," ")))),IF($A80&gt;0,INDEX(INDIRECT(H$1),MATCH($A80,Profit_and_Loss_Categories,0))," "))</f>
        <v xml:space="preserve"> </v>
      </c>
      <c r="I80" s="68" t="str">
        <f ca="1">IF(AND(I$5&gt;=Forecast_Start_Date,$A80&gt;0),IF($C80="Revenue Model",INDEX(Revenue_Forecast_Array,MATCH(I$5,Revenue_Model_Months,0)),IF($C80="% of Sales",$D80*I$16,IF($C80="Payroll Model",SUMIFS('Payroll Model'!L:L,Payroll_Mappings,'Operating Model'!$A80),IF($C80="Continue Last Month",H80," ")))),IF($A80&gt;0,INDEX(INDIRECT(I$1),MATCH($A80,Profit_and_Loss_Categories,0))," "))</f>
        <v xml:space="preserve"> </v>
      </c>
      <c r="J80" s="68" t="str">
        <f ca="1">IF(AND(J$5&gt;=Forecast_Start_Date,$A80&gt;0),IF($C80="Revenue Model",INDEX(Revenue_Forecast_Array,MATCH(J$5,Revenue_Model_Months,0)),IF($C80="% of Sales",$D80*J$16,IF($C80="Payroll Model",SUMIFS('Payroll Model'!M:M,Payroll_Mappings,'Operating Model'!$A80),IF($C80="Continue Last Month",I80," ")))),IF($A80&gt;0,INDEX(INDIRECT(J$1),MATCH($A80,Profit_and_Loss_Categories,0))," "))</f>
        <v xml:space="preserve"> </v>
      </c>
      <c r="K80" s="68" t="str">
        <f ca="1">IF(AND(K$5&gt;=Forecast_Start_Date,$A80&gt;0),IF($C80="Revenue Model",INDEX(Revenue_Forecast_Array,MATCH(K$5,Revenue_Model_Months,0)),IF($C80="% of Sales",$D80*K$16,IF($C80="Payroll Model",SUMIFS('Payroll Model'!N:N,Payroll_Mappings,'Operating Model'!$A80),IF($C80="Continue Last Month",J80," ")))),IF($A80&gt;0,INDEX(INDIRECT(K$1),MATCH($A80,Profit_and_Loss_Categories,0))," "))</f>
        <v xml:space="preserve"> </v>
      </c>
      <c r="L80" s="68" t="str">
        <f ca="1">IF(AND(L$5&gt;=Forecast_Start_Date,$A80&gt;0),IF($C80="Revenue Model",INDEX(Revenue_Forecast_Array,MATCH(L$5,Revenue_Model_Months,0)),IF($C80="% of Sales",$D80*L$16,IF($C80="Payroll Model",SUMIFS('Payroll Model'!O:O,Payroll_Mappings,'Operating Model'!$A80),IF($C80="Continue Last Month",K80," ")))),IF($A80&gt;0,INDEX(INDIRECT(L$1),MATCH($A80,Profit_and_Loss_Categories,0))," "))</f>
        <v xml:space="preserve"> </v>
      </c>
      <c r="M80" s="68" t="str">
        <f ca="1">IF(AND(M$5&gt;=Forecast_Start_Date,$A80&gt;0),IF($C80="Revenue Model",INDEX(Revenue_Forecast_Array,MATCH(M$5,Revenue_Model_Months,0)),IF($C80="% of Sales",$D80*M$16,IF($C80="Payroll Model",SUMIFS('Payroll Model'!P:P,Payroll_Mappings,'Operating Model'!$A80),IF($C80="Continue Last Month",L80," ")))),IF($A80&gt;0,INDEX(INDIRECT(M$1),MATCH($A80,Profit_and_Loss_Categories,0))," "))</f>
        <v xml:space="preserve"> </v>
      </c>
      <c r="N80" s="68" t="str">
        <f ca="1">IF(AND(N$5&gt;=Forecast_Start_Date,$A80&gt;0),IF($C80="Revenue Model",INDEX(Revenue_Forecast_Array,MATCH(N$5,Revenue_Model_Months,0)),IF($C80="% of Sales",$D80*N$16,IF($C80="Payroll Model",SUMIFS('Payroll Model'!Q:Q,Payroll_Mappings,'Operating Model'!$A80),IF($C80="Continue Last Month",M80," ")))),IF($A80&gt;0,INDEX(INDIRECT(N$1),MATCH($A80,Profit_and_Loss_Categories,0))," "))</f>
        <v xml:space="preserve"> </v>
      </c>
      <c r="O80" s="68" t="str">
        <f ca="1">IF(AND(O$5&gt;=Forecast_Start_Date,$A80&gt;0),IF($C80="Revenue Model",INDEX(Revenue_Forecast_Array,MATCH(O$5,Revenue_Model_Months,0)),IF($C80="% of Sales",$D80*O$16,IF($C80="Payroll Model",SUMIFS('Payroll Model'!R:R,Payroll_Mappings,'Operating Model'!$A80),IF($C80="Continue Last Month",N80," ")))),IF($A80&gt;0,INDEX(INDIRECT(O$1),MATCH($A80,Profit_and_Loss_Categories,0))," "))</f>
        <v xml:space="preserve"> </v>
      </c>
      <c r="P80" s="68" t="str">
        <f ca="1">IF(AND(P$5&gt;=Forecast_Start_Date,$A80&gt;0),IF($C80="Revenue Model",INDEX(Revenue_Forecast_Array,MATCH(P$5,Revenue_Model_Months,0)),IF($C80="% of Sales",$D80*P$16,IF($C80="Payroll Model",SUMIFS('Payroll Model'!S:S,Payroll_Mappings,'Operating Model'!$A80),IF($C80="Continue Last Month",O80," ")))),IF($A80&gt;0,INDEX(INDIRECT(P$1),MATCH($A80,Profit_and_Loss_Categories,0))," "))</f>
        <v xml:space="preserve"> </v>
      </c>
      <c r="Q80" s="68" t="str">
        <f ca="1">IF(AND(Q$5&gt;=Forecast_Start_Date,$A80&gt;0),IF($C80="Revenue Model",INDEX(Revenue_Forecast_Array,MATCH(Q$5,Revenue_Model_Months,0)),IF($C80="% of Sales",$D80*Q$16,IF($C80="Payroll Model",SUMIFS('Payroll Model'!T:T,Payroll_Mappings,'Operating Model'!$A80),IF($C80="Continue Last Month",P80," ")))),IF($A80&gt;0,INDEX(INDIRECT(Q$1),MATCH($A80,Profit_and_Loss_Categories,0))," "))</f>
        <v xml:space="preserve"> </v>
      </c>
    </row>
    <row r="81" spans="1:17" s="129" customFormat="1" x14ac:dyDescent="0.2">
      <c r="A81" s="130">
        <v>0</v>
      </c>
      <c r="B81" s="125"/>
      <c r="C81" s="126"/>
      <c r="D81" s="126"/>
      <c r="E81" s="125"/>
      <c r="F81" s="73" t="str">
        <f ca="1">IF(AND(F$5&gt;=Forecast_Start_Date,$A81&gt;0),IF($C81="Revenue Model",INDEX(Revenue_Forecast_Array,MATCH(F$5,Revenue_Model_Months,0)),IF($C81="% of Sales",$D81*F$16,IF($C81="Payroll Model",SUMIFS('Payroll Model'!I:I,Payroll_Mappings,'Operating Model'!$A81),IF($C81="Continue Last Month",E81," ")))),IF($A81&gt;0,INDEX(INDIRECT(F$1),MATCH($A81,Profit_and_Loss_Categories,0))," "))</f>
        <v xml:space="preserve"> </v>
      </c>
      <c r="G81" s="73" t="str">
        <f ca="1">IF(AND(G$5&gt;=Forecast_Start_Date,$A81&gt;0),IF($C81="Revenue Model",INDEX(Revenue_Forecast_Array,MATCH(G$5,Revenue_Model_Months,0)),IF($C81="% of Sales",$D81*G$16,IF($C81="Payroll Model",SUMIFS('Payroll Model'!J:J,Payroll_Mappings,'Operating Model'!$A81),IF($C81="Continue Last Month",F81," ")))),IF($A81&gt;0,INDEX(INDIRECT(G$1),MATCH($A81,Profit_and_Loss_Categories,0))," "))</f>
        <v xml:space="preserve"> </v>
      </c>
      <c r="H81" s="73" t="str">
        <f ca="1">IF(AND(H$5&gt;=Forecast_Start_Date,$A81&gt;0),IF($C81="Revenue Model",INDEX(Revenue_Forecast_Array,MATCH(H$5,Revenue_Model_Months,0)),IF($C81="% of Sales",$D81*H$16,IF($C81="Payroll Model",SUMIFS('Payroll Model'!K:K,Payroll_Mappings,'Operating Model'!$A81),IF($C81="Continue Last Month",G81," ")))),IF($A81&gt;0,INDEX(INDIRECT(H$1),MATCH($A81,Profit_and_Loss_Categories,0))," "))</f>
        <v xml:space="preserve"> </v>
      </c>
      <c r="I81" s="68" t="str">
        <f ca="1">IF(AND(I$5&gt;=Forecast_Start_Date,$A81&gt;0),IF($C81="Revenue Model",INDEX(Revenue_Forecast_Array,MATCH(I$5,Revenue_Model_Months,0)),IF($C81="% of Sales",$D81*I$16,IF($C81="Payroll Model",SUMIFS('Payroll Model'!L:L,Payroll_Mappings,'Operating Model'!$A81),IF($C81="Continue Last Month",H81," ")))),IF($A81&gt;0,INDEX(INDIRECT(I$1),MATCH($A81,Profit_and_Loss_Categories,0))," "))</f>
        <v xml:space="preserve"> </v>
      </c>
      <c r="J81" s="68" t="str">
        <f ca="1">IF(AND(J$5&gt;=Forecast_Start_Date,$A81&gt;0),IF($C81="Revenue Model",INDEX(Revenue_Forecast_Array,MATCH(J$5,Revenue_Model_Months,0)),IF($C81="% of Sales",$D81*J$16,IF($C81="Payroll Model",SUMIFS('Payroll Model'!M:M,Payroll_Mappings,'Operating Model'!$A81),IF($C81="Continue Last Month",I81," ")))),IF($A81&gt;0,INDEX(INDIRECT(J$1),MATCH($A81,Profit_and_Loss_Categories,0))," "))</f>
        <v xml:space="preserve"> </v>
      </c>
      <c r="K81" s="68" t="str">
        <f ca="1">IF(AND(K$5&gt;=Forecast_Start_Date,$A81&gt;0),IF($C81="Revenue Model",INDEX(Revenue_Forecast_Array,MATCH(K$5,Revenue_Model_Months,0)),IF($C81="% of Sales",$D81*K$16,IF($C81="Payroll Model",SUMIFS('Payroll Model'!N:N,Payroll_Mappings,'Operating Model'!$A81),IF($C81="Continue Last Month",J81," ")))),IF($A81&gt;0,INDEX(INDIRECT(K$1),MATCH($A81,Profit_and_Loss_Categories,0))," "))</f>
        <v xml:space="preserve"> </v>
      </c>
      <c r="L81" s="68" t="str">
        <f ca="1">IF(AND(L$5&gt;=Forecast_Start_Date,$A81&gt;0),IF($C81="Revenue Model",INDEX(Revenue_Forecast_Array,MATCH(L$5,Revenue_Model_Months,0)),IF($C81="% of Sales",$D81*L$16,IF($C81="Payroll Model",SUMIFS('Payroll Model'!O:O,Payroll_Mappings,'Operating Model'!$A81),IF($C81="Continue Last Month",K81," ")))),IF($A81&gt;0,INDEX(INDIRECT(L$1),MATCH($A81,Profit_and_Loss_Categories,0))," "))</f>
        <v xml:space="preserve"> </v>
      </c>
      <c r="M81" s="68" t="str">
        <f ca="1">IF(AND(M$5&gt;=Forecast_Start_Date,$A81&gt;0),IF($C81="Revenue Model",INDEX(Revenue_Forecast_Array,MATCH(M$5,Revenue_Model_Months,0)),IF($C81="% of Sales",$D81*M$16,IF($C81="Payroll Model",SUMIFS('Payroll Model'!P:P,Payroll_Mappings,'Operating Model'!$A81),IF($C81="Continue Last Month",L81," ")))),IF($A81&gt;0,INDEX(INDIRECT(M$1),MATCH($A81,Profit_and_Loss_Categories,0))," "))</f>
        <v xml:space="preserve"> </v>
      </c>
      <c r="N81" s="68" t="str">
        <f ca="1">IF(AND(N$5&gt;=Forecast_Start_Date,$A81&gt;0),IF($C81="Revenue Model",INDEX(Revenue_Forecast_Array,MATCH(N$5,Revenue_Model_Months,0)),IF($C81="% of Sales",$D81*N$16,IF($C81="Payroll Model",SUMIFS('Payroll Model'!Q:Q,Payroll_Mappings,'Operating Model'!$A81),IF($C81="Continue Last Month",M81," ")))),IF($A81&gt;0,INDEX(INDIRECT(N$1),MATCH($A81,Profit_and_Loss_Categories,0))," "))</f>
        <v xml:space="preserve"> </v>
      </c>
      <c r="O81" s="68" t="str">
        <f ca="1">IF(AND(O$5&gt;=Forecast_Start_Date,$A81&gt;0),IF($C81="Revenue Model",INDEX(Revenue_Forecast_Array,MATCH(O$5,Revenue_Model_Months,0)),IF($C81="% of Sales",$D81*O$16,IF($C81="Payroll Model",SUMIFS('Payroll Model'!R:R,Payroll_Mappings,'Operating Model'!$A81),IF($C81="Continue Last Month",N81," ")))),IF($A81&gt;0,INDEX(INDIRECT(O$1),MATCH($A81,Profit_and_Loss_Categories,0))," "))</f>
        <v xml:space="preserve"> </v>
      </c>
      <c r="P81" s="68" t="str">
        <f ca="1">IF(AND(P$5&gt;=Forecast_Start_Date,$A81&gt;0),IF($C81="Revenue Model",INDEX(Revenue_Forecast_Array,MATCH(P$5,Revenue_Model_Months,0)),IF($C81="% of Sales",$D81*P$16,IF($C81="Payroll Model",SUMIFS('Payroll Model'!S:S,Payroll_Mappings,'Operating Model'!$A81),IF($C81="Continue Last Month",O81," ")))),IF($A81&gt;0,INDEX(INDIRECT(P$1),MATCH($A81,Profit_and_Loss_Categories,0))," "))</f>
        <v xml:space="preserve"> </v>
      </c>
      <c r="Q81" s="68" t="str">
        <f ca="1">IF(AND(Q$5&gt;=Forecast_Start_Date,$A81&gt;0),IF($C81="Revenue Model",INDEX(Revenue_Forecast_Array,MATCH(Q$5,Revenue_Model_Months,0)),IF($C81="% of Sales",$D81*Q$16,IF($C81="Payroll Model",SUMIFS('Payroll Model'!T:T,Payroll_Mappings,'Operating Model'!$A81),IF($C81="Continue Last Month",P81," ")))),IF($A81&gt;0,INDEX(INDIRECT(Q$1),MATCH($A81,Profit_and_Loss_Categories,0))," "))</f>
        <v xml:space="preserve"> </v>
      </c>
    </row>
    <row r="82" spans="1:17" ht="0.75" customHeight="1" x14ac:dyDescent="0.2">
      <c r="A82" s="82"/>
      <c r="D82" s="103" t="str">
        <f>IF($C82="% of Sales",INDEX(82:82,MATCH(DATE(YEAR(Forecast_Start_Date),MONTH(Forecast_Start_Date)-1,DAY(Forecast_Start_Date)),Operating_Model_Months,0))/INDEX(Total_Income,MATCH(DATE(YEAR(Forecast_Start_Date),MONTH(Forecast_Start_Date)-1,DAY(Forecast_Start_Date)),Operating_Model_Months,0))," ")</f>
        <v xml:space="preserve"> </v>
      </c>
      <c r="F82" s="73" t="str">
        <f ca="1">IF(AND(F$5&gt;=Forecast_Start_Date,$A82&gt;0),IF($C82="Revenue Model",INDEX(Revenue_Forecast_Array,MATCH(F$5,Revenue_Model_Months,0)),IF($C82="% of Sales",$D82*F$16,IF($C82="Payroll Model",SUMIFS('Payroll Model'!I:I,Payroll_Mappings,'Operating Model'!$A82),IF($C82="Continue Last Month",E82," ")))),IF($A82&gt;0,INDEX(INDIRECT(F$1),MATCH($A82,Profit_and_Loss_Categories,0))," "))</f>
        <v xml:space="preserve"> </v>
      </c>
      <c r="G82" s="73" t="str">
        <f ca="1">IF(AND(G$5&gt;=Forecast_Start_Date,$A82&gt;0),IF($C82="Revenue Model",INDEX(Revenue_Forecast_Array,MATCH(G$5,Revenue_Model_Months,0)),IF($C82="% of Sales",$D82*G$16,IF($C82="Payroll Model",SUMIFS('Payroll Model'!J:J,Payroll_Mappings,'Operating Model'!$A82),IF($C82="Continue Last Month",F82," ")))),IF($A82&gt;0,INDEX(INDIRECT(G$1),MATCH($A82,Profit_and_Loss_Categories,0))," "))</f>
        <v xml:space="preserve"> </v>
      </c>
      <c r="H82" s="73" t="str">
        <f ca="1">IF(AND(H$5&gt;=Forecast_Start_Date,$A82&gt;0),IF($C82="Revenue Model",INDEX(Revenue_Forecast_Array,MATCH(H$5,Revenue_Model_Months,0)),IF($C82="% of Sales",$D82*H$16,IF($C82="Payroll Model",SUMIFS('Payroll Model'!K:K,Payroll_Mappings,'Operating Model'!$A82),IF($C82="Continue Last Month",G82," ")))),IF($A82&gt;0,INDEX(INDIRECT(H$1),MATCH($A82,Profit_and_Loss_Categories,0))," "))</f>
        <v xml:space="preserve"> </v>
      </c>
      <c r="I82" s="68" t="str">
        <f ca="1">IF(AND(I$5&gt;=Forecast_Start_Date,$A82&gt;0),IF($C82="Revenue Model",INDEX(Revenue_Forecast_Array,MATCH(I$5,Revenue_Model_Months,0)),IF($C82="% of Sales",$D82*I$16,IF($C82="Payroll Model",SUMIFS('Payroll Model'!L:L,Payroll_Mappings,'Operating Model'!$A82),IF($C82="Continue Last Month",H82," ")))),IF($A82&gt;0,INDEX(INDIRECT(I$1),MATCH($A82,Profit_and_Loss_Categories,0))," "))</f>
        <v xml:space="preserve"> </v>
      </c>
      <c r="J82" s="68" t="str">
        <f ca="1">IF(AND(J$5&gt;=Forecast_Start_Date,$A82&gt;0),IF($C82="Revenue Model",INDEX(Revenue_Forecast_Array,MATCH(J$5,Revenue_Model_Months,0)),IF($C82="% of Sales",$D82*J$16,IF($C82="Payroll Model",SUMIFS('Payroll Model'!M:M,Payroll_Mappings,'Operating Model'!$A82),IF($C82="Continue Last Month",I82," ")))),IF($A82&gt;0,INDEX(INDIRECT(J$1),MATCH($A82,Profit_and_Loss_Categories,0))," "))</f>
        <v xml:space="preserve"> </v>
      </c>
      <c r="K82" s="68" t="str">
        <f ca="1">IF(AND(K$5&gt;=Forecast_Start_Date,$A82&gt;0),IF($C82="Revenue Model",INDEX(Revenue_Forecast_Array,MATCH(K$5,Revenue_Model_Months,0)),IF($C82="% of Sales",$D82*K$16,IF($C82="Payroll Model",SUMIFS('Payroll Model'!N:N,Payroll_Mappings,'Operating Model'!$A82),IF($C82="Continue Last Month",J82," ")))),IF($A82&gt;0,INDEX(INDIRECT(K$1),MATCH($A82,Profit_and_Loss_Categories,0))," "))</f>
        <v xml:space="preserve"> </v>
      </c>
      <c r="L82" s="68" t="str">
        <f ca="1">IF(AND(L$5&gt;=Forecast_Start_Date,$A82&gt;0),IF($C82="Revenue Model",INDEX(Revenue_Forecast_Array,MATCH(L$5,Revenue_Model_Months,0)),IF($C82="% of Sales",$D82*L$16,IF($C82="Payroll Model",SUMIFS('Payroll Model'!O:O,Payroll_Mappings,'Operating Model'!$A82),IF($C82="Continue Last Month",K82," ")))),IF($A82&gt;0,INDEX(INDIRECT(L$1),MATCH($A82,Profit_and_Loss_Categories,0))," "))</f>
        <v xml:space="preserve"> </v>
      </c>
      <c r="M82" s="68" t="str">
        <f ca="1">IF(AND(M$5&gt;=Forecast_Start_Date,$A82&gt;0),IF($C82="Revenue Model",INDEX(Revenue_Forecast_Array,MATCH(M$5,Revenue_Model_Months,0)),IF($C82="% of Sales",$D82*M$16,IF($C82="Payroll Model",SUMIFS('Payroll Model'!P:P,Payroll_Mappings,'Operating Model'!$A82),IF($C82="Continue Last Month",L82," ")))),IF($A82&gt;0,INDEX(INDIRECT(M$1),MATCH($A82,Profit_and_Loss_Categories,0))," "))</f>
        <v xml:space="preserve"> </v>
      </c>
      <c r="N82" s="68" t="str">
        <f ca="1">IF(AND(N$5&gt;=Forecast_Start_Date,$A82&gt;0),IF($C82="Revenue Model",INDEX(Revenue_Forecast_Array,MATCH(N$5,Revenue_Model_Months,0)),IF($C82="% of Sales",$D82*N$16,IF($C82="Payroll Model",SUMIFS('Payroll Model'!Q:Q,Payroll_Mappings,'Operating Model'!$A82),IF($C82="Continue Last Month",M82," ")))),IF($A82&gt;0,INDEX(INDIRECT(N$1),MATCH($A82,Profit_and_Loss_Categories,0))," "))</f>
        <v xml:space="preserve"> </v>
      </c>
      <c r="O82" s="68" t="str">
        <f ca="1">IF(AND(O$5&gt;=Forecast_Start_Date,$A82&gt;0),IF($C82="Revenue Model",INDEX(Revenue_Forecast_Array,MATCH(O$5,Revenue_Model_Months,0)),IF($C82="% of Sales",$D82*O$16,IF($C82="Payroll Model",SUMIFS('Payroll Model'!R:R,Payroll_Mappings,'Operating Model'!$A82),IF($C82="Continue Last Month",N82," ")))),IF($A82&gt;0,INDEX(INDIRECT(O$1),MATCH($A82,Profit_and_Loss_Categories,0))," "))</f>
        <v xml:space="preserve"> </v>
      </c>
      <c r="P82" s="68" t="str">
        <f ca="1">IF(AND(P$5&gt;=Forecast_Start_Date,$A82&gt;0),IF($C82="Revenue Model",INDEX(Revenue_Forecast_Array,MATCH(P$5,Revenue_Model_Months,0)),IF($C82="% of Sales",$D82*P$16,IF($C82="Payroll Model",SUMIFS('Payroll Model'!S:S,Payroll_Mappings,'Operating Model'!$A82),IF($C82="Continue Last Month",O82," ")))),IF($A82&gt;0,INDEX(INDIRECT(P$1),MATCH($A82,Profit_and_Loss_Categories,0))," "))</f>
        <v xml:space="preserve"> </v>
      </c>
      <c r="Q82" s="68" t="str">
        <f ca="1">IF(AND(Q$5&gt;=Forecast_Start_Date,$A82&gt;0),IF($C82="Revenue Model",INDEX(Revenue_Forecast_Array,MATCH(Q$5,Revenue_Model_Months,0)),IF($C82="% of Sales",$D82*Q$16,IF($C82="Payroll Model",SUMIFS('Payroll Model'!T:T,Payroll_Mappings,'Operating Model'!$A82),IF($C82="Continue Last Month",P82," ")))),IF($A82&gt;0,INDEX(INDIRECT(Q$1),MATCH($A82,Profit_and_Loss_Categories,0))," "))</f>
        <v xml:space="preserve"> </v>
      </c>
    </row>
    <row r="83" spans="1:17" s="19" customFormat="1" x14ac:dyDescent="0.2">
      <c r="A83" s="19" t="s">
        <v>147</v>
      </c>
      <c r="B83" s="76"/>
      <c r="C83" s="75"/>
      <c r="D83" s="75"/>
      <c r="E83" s="76"/>
      <c r="F83" s="77">
        <f ca="1">SUM(F79:F82)</f>
        <v>0</v>
      </c>
      <c r="G83" s="77">
        <f t="shared" ref="G83" ca="1" si="10">SUM(G79:G82)</f>
        <v>0</v>
      </c>
      <c r="H83" s="77">
        <f t="shared" ref="H83" ca="1" si="11">SUM(H79:H82)</f>
        <v>0</v>
      </c>
      <c r="I83" s="77">
        <f t="shared" ref="I83" ca="1" si="12">SUM(I79:I82)</f>
        <v>0</v>
      </c>
      <c r="J83" s="77">
        <f t="shared" ref="J83" ca="1" si="13">SUM(J79:J82)</f>
        <v>0</v>
      </c>
      <c r="K83" s="77">
        <f t="shared" ref="K83" ca="1" si="14">SUM(K79:K82)</f>
        <v>0</v>
      </c>
      <c r="L83" s="77">
        <f t="shared" ref="L83" ca="1" si="15">SUM(L79:L82)</f>
        <v>0</v>
      </c>
      <c r="M83" s="77">
        <f t="shared" ref="M83" ca="1" si="16">SUM(M79:M82)</f>
        <v>0</v>
      </c>
      <c r="N83" s="77">
        <f t="shared" ref="N83" ca="1" si="17">SUM(N79:N82)</f>
        <v>0</v>
      </c>
      <c r="O83" s="77">
        <f t="shared" ref="O83" ca="1" si="18">SUM(O79:O82)</f>
        <v>0</v>
      </c>
      <c r="P83" s="77">
        <f t="shared" ref="P83" ca="1" si="19">SUM(P79:P82)</f>
        <v>0</v>
      </c>
      <c r="Q83" s="77">
        <f t="shared" ref="Q83" ca="1" si="20">SUM(Q79:Q82)</f>
        <v>0</v>
      </c>
    </row>
    <row r="84" spans="1:17" s="19" customFormat="1" x14ac:dyDescent="0.2">
      <c r="A84" s="19" t="s">
        <v>5</v>
      </c>
      <c r="B84" s="76"/>
      <c r="C84" s="75"/>
      <c r="D84" s="75"/>
      <c r="E84" s="76"/>
      <c r="F84" s="77">
        <f ca="1">F73+F78-F83</f>
        <v>-8593.3333333333321</v>
      </c>
      <c r="G84" s="77">
        <f t="shared" ref="G84:Q84" ca="1" si="21">G73+G78-G83</f>
        <v>-13676.666666666668</v>
      </c>
      <c r="H84" s="77">
        <f t="shared" ca="1" si="21"/>
        <v>-18560</v>
      </c>
      <c r="I84" s="77">
        <f t="shared" ca="1" si="21"/>
        <v>0</v>
      </c>
      <c r="J84" s="77">
        <f t="shared" ca="1" si="21"/>
        <v>0</v>
      </c>
      <c r="K84" s="77">
        <f t="shared" ca="1" si="21"/>
        <v>0</v>
      </c>
      <c r="L84" s="77">
        <f t="shared" ca="1" si="21"/>
        <v>0</v>
      </c>
      <c r="M84" s="77">
        <f t="shared" ca="1" si="21"/>
        <v>0</v>
      </c>
      <c r="N84" s="77">
        <f t="shared" ca="1" si="21"/>
        <v>0</v>
      </c>
      <c r="O84" s="77">
        <f t="shared" ca="1" si="21"/>
        <v>0</v>
      </c>
      <c r="P84" s="77">
        <f t="shared" ca="1" si="21"/>
        <v>0</v>
      </c>
      <c r="Q84" s="77">
        <f t="shared" ca="1" si="21"/>
        <v>0</v>
      </c>
    </row>
    <row r="85" spans="1:17" outlineLevel="1" x14ac:dyDescent="0.2">
      <c r="A85" s="83" t="s">
        <v>75</v>
      </c>
      <c r="B85" s="86"/>
      <c r="E85" s="86"/>
      <c r="F85" s="84">
        <f ca="1">INDEX(INDIRECT(F$1),MATCH("Net Income",Profit_and_Loss_Categories,0))-F84</f>
        <v>0</v>
      </c>
      <c r="G85" s="84">
        <f ca="1">INDEX(INDIRECT(G$1),MATCH("Net Income",Profit_and_Loss_Categories,0))-G84</f>
        <v>0</v>
      </c>
      <c r="H85" s="84">
        <f ca="1">INDEX(INDIRECT(H$1),MATCH("Net Income",Profit_and_Loss_Categories,0))-H84</f>
        <v>0</v>
      </c>
      <c r="I85" s="84"/>
      <c r="J85" s="84"/>
      <c r="K85" s="84"/>
      <c r="L85" s="84"/>
      <c r="M85" s="84"/>
      <c r="N85" s="84"/>
      <c r="O85" s="84"/>
      <c r="P85" s="84"/>
      <c r="Q85" s="84"/>
    </row>
    <row r="86" spans="1:17" x14ac:dyDescent="0.2">
      <c r="B86" s="73"/>
      <c r="E86" s="73"/>
    </row>
    <row r="87" spans="1:17" x14ac:dyDescent="0.2">
      <c r="B87" s="73"/>
      <c r="E87" s="73"/>
    </row>
    <row r="88" spans="1:17" x14ac:dyDescent="0.2">
      <c r="A88" s="88" t="s">
        <v>32</v>
      </c>
    </row>
    <row r="89" spans="1:17" x14ac:dyDescent="0.2">
      <c r="A89" s="13" t="s">
        <v>30</v>
      </c>
      <c r="F89" s="68">
        <f>Starting_Cash_Balance</f>
        <v>100000</v>
      </c>
      <c r="P89" s="68"/>
      <c r="Q89" s="68"/>
    </row>
    <row r="90" spans="1:17" x14ac:dyDescent="0.2">
      <c r="A90" s="13" t="s">
        <v>31</v>
      </c>
      <c r="F90" s="68">
        <f t="shared" ref="F90:Q90" si="22">IF(F$5=Investment_Date,Investment_Amount,0)</f>
        <v>0</v>
      </c>
      <c r="G90" s="68">
        <f t="shared" si="22"/>
        <v>0</v>
      </c>
      <c r="H90" s="68">
        <f t="shared" si="22"/>
        <v>0</v>
      </c>
      <c r="I90" s="68">
        <f t="shared" si="22"/>
        <v>0</v>
      </c>
      <c r="J90" s="68">
        <f t="shared" si="22"/>
        <v>0</v>
      </c>
      <c r="K90" s="68">
        <f t="shared" si="22"/>
        <v>0</v>
      </c>
      <c r="L90" s="68">
        <f t="shared" si="22"/>
        <v>0</v>
      </c>
      <c r="M90" s="68">
        <f t="shared" si="22"/>
        <v>0</v>
      </c>
      <c r="N90" s="68">
        <f t="shared" si="22"/>
        <v>0</v>
      </c>
      <c r="O90" s="68">
        <f t="shared" si="22"/>
        <v>0</v>
      </c>
      <c r="P90" s="68">
        <f t="shared" si="22"/>
        <v>0</v>
      </c>
      <c r="Q90" s="68">
        <f t="shared" si="22"/>
        <v>0</v>
      </c>
    </row>
    <row r="91" spans="1:17" x14ac:dyDescent="0.2">
      <c r="A91" s="13" t="s">
        <v>33</v>
      </c>
      <c r="F91" s="68">
        <f ca="1">SUM(F89:F90)+F84+E91</f>
        <v>91406.666666666672</v>
      </c>
      <c r="G91" s="68">
        <f t="shared" ref="G91:Q91" ca="1" si="23">SUM(G89:G90)+G84+F91</f>
        <v>77730</v>
      </c>
      <c r="H91" s="68">
        <f t="shared" ca="1" si="23"/>
        <v>59170</v>
      </c>
      <c r="I91" s="68">
        <f t="shared" ca="1" si="23"/>
        <v>59170</v>
      </c>
      <c r="J91" s="68">
        <f t="shared" ca="1" si="23"/>
        <v>59170</v>
      </c>
      <c r="K91" s="68">
        <f t="shared" ca="1" si="23"/>
        <v>59170</v>
      </c>
      <c r="L91" s="68">
        <f t="shared" ca="1" si="23"/>
        <v>59170</v>
      </c>
      <c r="M91" s="68">
        <f t="shared" ca="1" si="23"/>
        <v>59170</v>
      </c>
      <c r="N91" s="68">
        <f t="shared" ca="1" si="23"/>
        <v>59170</v>
      </c>
      <c r="O91" s="68">
        <f t="shared" ca="1" si="23"/>
        <v>59170</v>
      </c>
      <c r="P91" s="68">
        <f t="shared" ca="1" si="23"/>
        <v>59170</v>
      </c>
      <c r="Q91" s="68">
        <f t="shared" ca="1" si="23"/>
        <v>59170</v>
      </c>
    </row>
    <row r="92" spans="1:17" x14ac:dyDescent="0.2">
      <c r="A92" s="13" t="s">
        <v>36</v>
      </c>
    </row>
    <row r="93" spans="1:17" x14ac:dyDescent="0.2">
      <c r="A93" s="13" t="s">
        <v>60</v>
      </c>
      <c r="F93" s="68">
        <f t="shared" ref="F93:Q93" ca="1" si="24">F71+F28</f>
        <v>23593.333333333332</v>
      </c>
      <c r="G93" s="68">
        <f t="shared" ca="1" si="24"/>
        <v>33676.666666666672</v>
      </c>
      <c r="H93" s="68">
        <f t="shared" ca="1" si="24"/>
        <v>43560</v>
      </c>
      <c r="I93" s="68">
        <f t="shared" ca="1" si="24"/>
        <v>0</v>
      </c>
      <c r="J93" s="68">
        <f t="shared" ca="1" si="24"/>
        <v>0</v>
      </c>
      <c r="K93" s="68">
        <f t="shared" ca="1" si="24"/>
        <v>0</v>
      </c>
      <c r="L93" s="68">
        <f t="shared" ca="1" si="24"/>
        <v>0</v>
      </c>
      <c r="M93" s="68">
        <f t="shared" ca="1" si="24"/>
        <v>0</v>
      </c>
      <c r="N93" s="68">
        <f t="shared" ca="1" si="24"/>
        <v>0</v>
      </c>
      <c r="O93" s="68">
        <f t="shared" ca="1" si="24"/>
        <v>0</v>
      </c>
      <c r="P93" s="68">
        <f t="shared" ca="1" si="24"/>
        <v>0</v>
      </c>
      <c r="Q93" s="68">
        <f t="shared" ca="1" si="24"/>
        <v>0</v>
      </c>
    </row>
  </sheetData>
  <conditionalFormatting sqref="F85:H85">
    <cfRule type="cellIs" dxfId="11" priority="35" operator="greaterThan">
      <formula>0</formula>
    </cfRule>
    <cfRule type="cellIs" dxfId="10" priority="42" operator="equal">
      <formula>0</formula>
    </cfRule>
  </conditionalFormatting>
  <conditionalFormatting sqref="F85:H85">
    <cfRule type="cellIs" dxfId="9" priority="33" operator="lessThan">
      <formula>0</formula>
    </cfRule>
  </conditionalFormatting>
  <conditionalFormatting sqref="F30:H30">
    <cfRule type="cellIs" dxfId="8" priority="31" operator="greaterThan">
      <formula>0</formula>
    </cfRule>
    <cfRule type="cellIs" dxfId="7" priority="32" operator="equal">
      <formula>0</formula>
    </cfRule>
  </conditionalFormatting>
  <conditionalFormatting sqref="F30:H30">
    <cfRule type="cellIs" dxfId="6" priority="30" operator="lessThan">
      <formula>0</formula>
    </cfRule>
  </conditionalFormatting>
  <conditionalFormatting sqref="F17:H17">
    <cfRule type="cellIs" dxfId="5" priority="28" operator="greaterThan">
      <formula>0</formula>
    </cfRule>
    <cfRule type="cellIs" dxfId="4" priority="29" operator="equal">
      <formula>0</formula>
    </cfRule>
  </conditionalFormatting>
  <conditionalFormatting sqref="F17:H17">
    <cfRule type="cellIs" dxfId="3" priority="27" operator="lessThan">
      <formula>0</formula>
    </cfRule>
  </conditionalFormatting>
  <conditionalFormatting sqref="F72:H72">
    <cfRule type="cellIs" dxfId="2" priority="25" operator="greaterThan">
      <formula>0</formula>
    </cfRule>
    <cfRule type="cellIs" dxfId="1" priority="26" operator="equal">
      <formula>0</formula>
    </cfRule>
  </conditionalFormatting>
  <conditionalFormatting sqref="F72:H72">
    <cfRule type="cellIs" dxfId="0" priority="24" operator="lessThan">
      <formula>0</formula>
    </cfRule>
  </conditionalFormatting>
  <dataValidations disablePrompts="1" count="1">
    <dataValidation type="list" allowBlank="1" showInputMessage="1" showErrorMessage="1" sqref="C6 C9 C19:C26 C32:C69">
      <formula1>Input_Types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Controls!$A$21:$A$24</xm:f>
          </x14:formula1>
          <xm:sqref>C10:C12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showGridLines="0" zoomScale="145" zoomScaleNormal="145" workbookViewId="0">
      <selection activeCell="B6" sqref="B6"/>
    </sheetView>
  </sheetViews>
  <sheetFormatPr defaultRowHeight="12" x14ac:dyDescent="0.2"/>
  <cols>
    <col min="1" max="1" width="19.28515625" style="13" customWidth="1"/>
    <col min="2" max="2" width="9.42578125" style="13" customWidth="1"/>
    <col min="3" max="3" width="23.5703125" style="13" customWidth="1"/>
    <col min="4" max="8" width="9.42578125" style="23" customWidth="1"/>
    <col min="9" max="20" width="9.42578125" style="13" customWidth="1"/>
    <col min="21" max="16384" width="9.140625" style="13"/>
  </cols>
  <sheetData>
    <row r="1" spans="1:20" s="133" customFormat="1" ht="24" x14ac:dyDescent="0.25">
      <c r="A1" s="131" t="s">
        <v>12</v>
      </c>
      <c r="B1" s="134" t="s">
        <v>83</v>
      </c>
      <c r="C1" s="135" t="s">
        <v>19</v>
      </c>
      <c r="D1" s="135" t="s">
        <v>42</v>
      </c>
      <c r="E1" s="135" t="s">
        <v>78</v>
      </c>
      <c r="F1" s="135" t="s">
        <v>15</v>
      </c>
      <c r="G1" s="135" t="s">
        <v>46</v>
      </c>
      <c r="H1" s="135" t="s">
        <v>16</v>
      </c>
      <c r="I1" s="132">
        <f>Historicals_Start_Date</f>
        <v>42736</v>
      </c>
      <c r="J1" s="132">
        <f t="shared" ref="J1:K1" si="0">DATE(YEAR(I1),MONTH(I1)+1,DAY(I1))</f>
        <v>42767</v>
      </c>
      <c r="K1" s="132">
        <f t="shared" si="0"/>
        <v>42795</v>
      </c>
      <c r="L1" s="132">
        <f t="shared" ref="L1" si="1">DATE(YEAR(K1),MONTH(K1)+1,DAY(K1))</f>
        <v>42826</v>
      </c>
      <c r="M1" s="132">
        <f>DATE(YEAR(L1),MONTH(L1)+1,DAY(L1))</f>
        <v>42856</v>
      </c>
      <c r="N1" s="132">
        <f t="shared" ref="N1:T1" si="2">DATE(YEAR(M1),MONTH(M1)+1,DAY(M1))</f>
        <v>42887</v>
      </c>
      <c r="O1" s="132">
        <f t="shared" si="2"/>
        <v>42917</v>
      </c>
      <c r="P1" s="132">
        <f t="shared" si="2"/>
        <v>42948</v>
      </c>
      <c r="Q1" s="132">
        <f t="shared" si="2"/>
        <v>42979</v>
      </c>
      <c r="R1" s="132">
        <f t="shared" si="2"/>
        <v>43009</v>
      </c>
      <c r="S1" s="132">
        <f t="shared" si="2"/>
        <v>43040</v>
      </c>
      <c r="T1" s="132">
        <f t="shared" si="2"/>
        <v>43070</v>
      </c>
    </row>
    <row r="2" spans="1:20" ht="12.75" x14ac:dyDescent="0.2">
      <c r="A2" s="13" t="s">
        <v>14</v>
      </c>
      <c r="B2" s="30" t="s">
        <v>86</v>
      </c>
      <c r="C2" s="89" t="s">
        <v>13</v>
      </c>
      <c r="D2" s="89" t="s">
        <v>43</v>
      </c>
      <c r="E2" s="27">
        <v>300</v>
      </c>
      <c r="F2" s="89">
        <v>42736</v>
      </c>
      <c r="G2" s="89"/>
      <c r="H2" s="27">
        <v>80000</v>
      </c>
      <c r="I2" s="24">
        <f t="shared" ref="I2:K10" si="3">IF(AND($F2&lt;=I$1,IF($G2&gt;0,$G2,TRUE)&gt;I$1),$H2/12,0)</f>
        <v>6666.666666666667</v>
      </c>
      <c r="J2" s="24">
        <f t="shared" si="3"/>
        <v>6666.666666666667</v>
      </c>
      <c r="K2" s="24">
        <f t="shared" si="3"/>
        <v>6666.666666666667</v>
      </c>
      <c r="L2" s="24">
        <f>IF(AND($F2&lt;=L$1,IF($G2&gt;0,$G2,TRUE)&gt;L$1),$H2/12,0)</f>
        <v>6666.666666666667</v>
      </c>
      <c r="M2" s="24">
        <f t="shared" ref="M2:T10" si="4">IF(AND($F2&lt;=M$1,IF($G2&gt;0,$G2,TRUE)&gt;M$1),$H2/12,0)</f>
        <v>6666.666666666667</v>
      </c>
      <c r="N2" s="24">
        <f t="shared" si="4"/>
        <v>6666.666666666667</v>
      </c>
      <c r="O2" s="24">
        <f t="shared" si="4"/>
        <v>6666.666666666667</v>
      </c>
      <c r="P2" s="24">
        <f t="shared" si="4"/>
        <v>6666.666666666667</v>
      </c>
      <c r="Q2" s="24">
        <f t="shared" si="4"/>
        <v>6666.666666666667</v>
      </c>
      <c r="R2" s="24">
        <f t="shared" si="4"/>
        <v>6666.666666666667</v>
      </c>
      <c r="S2" s="24">
        <f t="shared" si="4"/>
        <v>6666.666666666667</v>
      </c>
      <c r="T2" s="24">
        <f t="shared" si="4"/>
        <v>6666.666666666667</v>
      </c>
    </row>
    <row r="3" spans="1:20" ht="12.75" x14ac:dyDescent="0.2">
      <c r="A3" s="13" t="s">
        <v>37</v>
      </c>
      <c r="B3" s="30" t="s">
        <v>86</v>
      </c>
      <c r="C3" s="89" t="s">
        <v>13</v>
      </c>
      <c r="D3" s="89" t="s">
        <v>43</v>
      </c>
      <c r="E3" s="27">
        <v>300</v>
      </c>
      <c r="F3" s="89">
        <v>42767</v>
      </c>
      <c r="G3" s="89"/>
      <c r="H3" s="27">
        <v>80000</v>
      </c>
      <c r="I3" s="24">
        <f t="shared" si="3"/>
        <v>0</v>
      </c>
      <c r="J3" s="24">
        <f t="shared" si="3"/>
        <v>6666.666666666667</v>
      </c>
      <c r="K3" s="24">
        <f t="shared" si="3"/>
        <v>6666.666666666667</v>
      </c>
      <c r="L3" s="24">
        <f t="shared" ref="L3:L10" si="5">IF(AND($F3&lt;=L$1,IF($G3&gt;0,$G3,TRUE)&gt;L$1),$H3/12,0)</f>
        <v>6666.666666666667</v>
      </c>
      <c r="M3" s="24">
        <f t="shared" si="4"/>
        <v>6666.666666666667</v>
      </c>
      <c r="N3" s="24">
        <f t="shared" si="4"/>
        <v>6666.666666666667</v>
      </c>
      <c r="O3" s="24">
        <f t="shared" si="4"/>
        <v>6666.666666666667</v>
      </c>
      <c r="P3" s="24">
        <f t="shared" si="4"/>
        <v>6666.666666666667</v>
      </c>
      <c r="Q3" s="24">
        <f t="shared" si="4"/>
        <v>6666.666666666667</v>
      </c>
      <c r="R3" s="24">
        <f t="shared" si="4"/>
        <v>6666.666666666667</v>
      </c>
      <c r="S3" s="24">
        <f t="shared" si="4"/>
        <v>6666.666666666667</v>
      </c>
      <c r="T3" s="24">
        <f t="shared" si="4"/>
        <v>6666.666666666667</v>
      </c>
    </row>
    <row r="4" spans="1:20" ht="12.75" x14ac:dyDescent="0.2">
      <c r="A4" s="13" t="s">
        <v>38</v>
      </c>
      <c r="B4" s="30" t="s">
        <v>85</v>
      </c>
      <c r="C4" s="89" t="s">
        <v>13</v>
      </c>
      <c r="D4" s="89" t="s">
        <v>43</v>
      </c>
      <c r="E4" s="27">
        <v>300</v>
      </c>
      <c r="F4" s="89">
        <v>42795</v>
      </c>
      <c r="G4" s="89">
        <v>42856</v>
      </c>
      <c r="H4" s="27">
        <v>80000</v>
      </c>
      <c r="I4" s="24">
        <f t="shared" si="3"/>
        <v>0</v>
      </c>
      <c r="J4" s="24">
        <f t="shared" si="3"/>
        <v>0</v>
      </c>
      <c r="K4" s="24">
        <f t="shared" si="3"/>
        <v>6666.666666666667</v>
      </c>
      <c r="L4" s="24">
        <f t="shared" si="5"/>
        <v>6666.666666666667</v>
      </c>
      <c r="M4" s="24">
        <f t="shared" si="4"/>
        <v>0</v>
      </c>
      <c r="N4" s="24">
        <f t="shared" si="4"/>
        <v>0</v>
      </c>
      <c r="O4" s="24">
        <f t="shared" si="4"/>
        <v>0</v>
      </c>
      <c r="P4" s="24">
        <f t="shared" si="4"/>
        <v>0</v>
      </c>
      <c r="Q4" s="24">
        <f t="shared" si="4"/>
        <v>0</v>
      </c>
      <c r="R4" s="24">
        <f t="shared" si="4"/>
        <v>0</v>
      </c>
      <c r="S4" s="24">
        <f t="shared" si="4"/>
        <v>0</v>
      </c>
      <c r="T4" s="24">
        <f t="shared" si="4"/>
        <v>0</v>
      </c>
    </row>
    <row r="5" spans="1:20" ht="12.75" x14ac:dyDescent="0.2">
      <c r="A5" s="13" t="s">
        <v>40</v>
      </c>
      <c r="B5" s="30" t="s">
        <v>85</v>
      </c>
      <c r="C5" s="89" t="s">
        <v>20</v>
      </c>
      <c r="D5" s="89" t="s">
        <v>44</v>
      </c>
      <c r="E5" s="27">
        <v>0</v>
      </c>
      <c r="F5" s="89">
        <v>42826</v>
      </c>
      <c r="G5" s="89"/>
      <c r="H5" s="27">
        <v>80000</v>
      </c>
      <c r="I5" s="24">
        <f t="shared" si="3"/>
        <v>0</v>
      </c>
      <c r="J5" s="24">
        <f t="shared" si="3"/>
        <v>0</v>
      </c>
      <c r="K5" s="24">
        <f t="shared" si="3"/>
        <v>0</v>
      </c>
      <c r="L5" s="24">
        <f t="shared" si="5"/>
        <v>6666.666666666667</v>
      </c>
      <c r="M5" s="24">
        <f t="shared" si="4"/>
        <v>6666.666666666667</v>
      </c>
      <c r="N5" s="24">
        <f t="shared" si="4"/>
        <v>6666.666666666667</v>
      </c>
      <c r="O5" s="24">
        <f t="shared" si="4"/>
        <v>6666.666666666667</v>
      </c>
      <c r="P5" s="24">
        <f t="shared" si="4"/>
        <v>6666.666666666667</v>
      </c>
      <c r="Q5" s="24">
        <f t="shared" si="4"/>
        <v>6666.666666666667</v>
      </c>
      <c r="R5" s="24">
        <f t="shared" si="4"/>
        <v>6666.666666666667</v>
      </c>
      <c r="S5" s="24">
        <f t="shared" si="4"/>
        <v>6666.666666666667</v>
      </c>
      <c r="T5" s="24">
        <f t="shared" si="4"/>
        <v>6666.666666666667</v>
      </c>
    </row>
    <row r="6" spans="1:20" ht="12.75" x14ac:dyDescent="0.2">
      <c r="A6" s="13" t="s">
        <v>39</v>
      </c>
      <c r="B6" s="30" t="s">
        <v>57</v>
      </c>
      <c r="C6" s="89" t="s">
        <v>13</v>
      </c>
      <c r="D6" s="89" t="s">
        <v>43</v>
      </c>
      <c r="E6" s="27">
        <v>300</v>
      </c>
      <c r="F6" s="89">
        <v>42826</v>
      </c>
      <c r="G6" s="89"/>
      <c r="H6" s="27">
        <v>80000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5"/>
        <v>6666.666666666667</v>
      </c>
      <c r="M6" s="24">
        <f t="shared" si="4"/>
        <v>6666.666666666667</v>
      </c>
      <c r="N6" s="24">
        <f t="shared" si="4"/>
        <v>6666.666666666667</v>
      </c>
      <c r="O6" s="24">
        <f t="shared" si="4"/>
        <v>6666.666666666667</v>
      </c>
      <c r="P6" s="24">
        <f t="shared" si="4"/>
        <v>6666.666666666667</v>
      </c>
      <c r="Q6" s="24">
        <f t="shared" si="4"/>
        <v>6666.666666666667</v>
      </c>
      <c r="R6" s="24">
        <f t="shared" si="4"/>
        <v>6666.666666666667</v>
      </c>
      <c r="S6" s="24">
        <f t="shared" si="4"/>
        <v>6666.666666666667</v>
      </c>
      <c r="T6" s="24">
        <f t="shared" si="4"/>
        <v>6666.666666666667</v>
      </c>
    </row>
    <row r="7" spans="1:20" ht="12.75" x14ac:dyDescent="0.2">
      <c r="A7" s="13" t="s">
        <v>150</v>
      </c>
      <c r="B7" s="30" t="s">
        <v>57</v>
      </c>
      <c r="C7" s="89" t="s">
        <v>13</v>
      </c>
      <c r="D7" s="89" t="s">
        <v>43</v>
      </c>
      <c r="E7" s="27">
        <v>300</v>
      </c>
      <c r="F7" s="89">
        <v>42856</v>
      </c>
      <c r="G7" s="89"/>
      <c r="H7" s="27">
        <v>80000</v>
      </c>
      <c r="I7" s="24">
        <f t="shared" si="3"/>
        <v>0</v>
      </c>
      <c r="J7" s="24">
        <f t="shared" si="3"/>
        <v>0</v>
      </c>
      <c r="K7" s="24">
        <f t="shared" si="3"/>
        <v>0</v>
      </c>
      <c r="L7" s="24">
        <f t="shared" si="5"/>
        <v>0</v>
      </c>
      <c r="M7" s="24">
        <f t="shared" si="4"/>
        <v>6666.666666666667</v>
      </c>
      <c r="N7" s="24">
        <f t="shared" si="4"/>
        <v>6666.666666666667</v>
      </c>
      <c r="O7" s="24">
        <f t="shared" si="4"/>
        <v>6666.666666666667</v>
      </c>
      <c r="P7" s="24">
        <f t="shared" si="4"/>
        <v>6666.666666666667</v>
      </c>
      <c r="Q7" s="24">
        <f t="shared" si="4"/>
        <v>6666.666666666667</v>
      </c>
      <c r="R7" s="24">
        <f t="shared" si="4"/>
        <v>6666.666666666667</v>
      </c>
      <c r="S7" s="24">
        <f t="shared" si="4"/>
        <v>6666.666666666667</v>
      </c>
      <c r="T7" s="24">
        <f t="shared" si="4"/>
        <v>6666.666666666667</v>
      </c>
    </row>
    <row r="8" spans="1:20" ht="12.75" x14ac:dyDescent="0.2">
      <c r="A8" s="13" t="s">
        <v>41</v>
      </c>
      <c r="B8" s="30" t="s">
        <v>84</v>
      </c>
      <c r="C8" s="89" t="s">
        <v>13</v>
      </c>
      <c r="D8" s="89" t="s">
        <v>43</v>
      </c>
      <c r="E8" s="27">
        <v>300</v>
      </c>
      <c r="F8" s="89">
        <v>42856</v>
      </c>
      <c r="G8" s="89"/>
      <c r="H8" s="27">
        <f>4000*12</f>
        <v>48000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5"/>
        <v>0</v>
      </c>
      <c r="M8" s="24">
        <f t="shared" si="4"/>
        <v>4000</v>
      </c>
      <c r="N8" s="24">
        <f t="shared" si="4"/>
        <v>4000</v>
      </c>
      <c r="O8" s="24">
        <f t="shared" si="4"/>
        <v>4000</v>
      </c>
      <c r="P8" s="24">
        <f t="shared" si="4"/>
        <v>4000</v>
      </c>
      <c r="Q8" s="24">
        <f t="shared" si="4"/>
        <v>4000</v>
      </c>
      <c r="R8" s="24">
        <f t="shared" si="4"/>
        <v>4000</v>
      </c>
      <c r="S8" s="24">
        <f t="shared" si="4"/>
        <v>4000</v>
      </c>
      <c r="T8" s="24">
        <f t="shared" si="4"/>
        <v>4000</v>
      </c>
    </row>
    <row r="9" spans="1:20" ht="12.75" x14ac:dyDescent="0.2">
      <c r="A9" s="13" t="s">
        <v>128</v>
      </c>
      <c r="B9" s="30" t="s">
        <v>84</v>
      </c>
      <c r="C9" s="89" t="s">
        <v>13</v>
      </c>
      <c r="D9" s="89" t="s">
        <v>43</v>
      </c>
      <c r="E9" s="27">
        <v>300</v>
      </c>
      <c r="F9" s="89">
        <v>42887</v>
      </c>
      <c r="G9" s="89"/>
      <c r="H9" s="27">
        <f>4000*12</f>
        <v>48000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5"/>
        <v>0</v>
      </c>
      <c r="M9" s="24">
        <f t="shared" si="4"/>
        <v>0</v>
      </c>
      <c r="N9" s="24">
        <f t="shared" si="4"/>
        <v>4000</v>
      </c>
      <c r="O9" s="24">
        <f t="shared" si="4"/>
        <v>4000</v>
      </c>
      <c r="P9" s="24">
        <f t="shared" si="4"/>
        <v>4000</v>
      </c>
      <c r="Q9" s="24">
        <f t="shared" si="4"/>
        <v>4000</v>
      </c>
      <c r="R9" s="24">
        <f t="shared" si="4"/>
        <v>4000</v>
      </c>
      <c r="S9" s="24">
        <f t="shared" si="4"/>
        <v>4000</v>
      </c>
      <c r="T9" s="24">
        <f t="shared" si="4"/>
        <v>4000</v>
      </c>
    </row>
    <row r="10" spans="1:20" ht="12.75" x14ac:dyDescent="0.2">
      <c r="A10" s="13" t="s">
        <v>151</v>
      </c>
      <c r="B10" s="30" t="s">
        <v>84</v>
      </c>
      <c r="C10" s="89" t="s">
        <v>13</v>
      </c>
      <c r="D10" s="89" t="s">
        <v>43</v>
      </c>
      <c r="E10" s="27">
        <v>300</v>
      </c>
      <c r="F10" s="89">
        <v>42887</v>
      </c>
      <c r="G10" s="89"/>
      <c r="H10" s="27">
        <f>4000*12</f>
        <v>48000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5"/>
        <v>0</v>
      </c>
      <c r="M10" s="24">
        <f t="shared" si="4"/>
        <v>0</v>
      </c>
      <c r="N10" s="24">
        <f t="shared" si="4"/>
        <v>4000</v>
      </c>
      <c r="O10" s="24">
        <f t="shared" si="4"/>
        <v>4000</v>
      </c>
      <c r="P10" s="24">
        <f t="shared" si="4"/>
        <v>4000</v>
      </c>
      <c r="Q10" s="24">
        <f t="shared" si="4"/>
        <v>4000</v>
      </c>
      <c r="R10" s="24">
        <f t="shared" si="4"/>
        <v>4000</v>
      </c>
      <c r="S10" s="24">
        <f t="shared" si="4"/>
        <v>4000</v>
      </c>
      <c r="T10" s="24">
        <f t="shared" si="4"/>
        <v>4000</v>
      </c>
    </row>
    <row r="11" spans="1:20" x14ac:dyDescent="0.2">
      <c r="B11" s="20"/>
      <c r="C11" s="20"/>
      <c r="D11" s="20"/>
      <c r="E11" s="20"/>
      <c r="F11" s="20"/>
      <c r="G11" s="20"/>
      <c r="H11" s="27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.25" customHeight="1" x14ac:dyDescent="0.2">
      <c r="B12" s="21"/>
      <c r="C12" s="21"/>
      <c r="D12" s="21"/>
      <c r="E12" s="21"/>
      <c r="F12" s="21"/>
      <c r="G12" s="21"/>
      <c r="H12" s="2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19" customFormat="1" x14ac:dyDescent="0.2">
      <c r="A13" s="19" t="s">
        <v>17</v>
      </c>
      <c r="D13" s="22"/>
      <c r="E13" s="22"/>
      <c r="F13" s="22"/>
      <c r="G13" s="22"/>
      <c r="H13" s="22"/>
      <c r="I13" s="26">
        <f t="shared" ref="I13:K13" si="6">+SUM(I2:I12)</f>
        <v>6666.666666666667</v>
      </c>
      <c r="J13" s="26">
        <f t="shared" si="6"/>
        <v>13333.333333333334</v>
      </c>
      <c r="K13" s="26">
        <f t="shared" si="6"/>
        <v>20000</v>
      </c>
      <c r="L13" s="26">
        <f t="shared" ref="L13:T13" si="7">+SUM(L2:L12)</f>
        <v>33333.333333333336</v>
      </c>
      <c r="M13" s="26">
        <f t="shared" si="7"/>
        <v>37333.333333333336</v>
      </c>
      <c r="N13" s="26">
        <f t="shared" si="7"/>
        <v>45333.333333333336</v>
      </c>
      <c r="O13" s="26">
        <f t="shared" si="7"/>
        <v>45333.333333333336</v>
      </c>
      <c r="P13" s="26">
        <f t="shared" si="7"/>
        <v>45333.333333333336</v>
      </c>
      <c r="Q13" s="26">
        <f t="shared" si="7"/>
        <v>45333.333333333336</v>
      </c>
      <c r="R13" s="26">
        <f t="shared" si="7"/>
        <v>45333.333333333336</v>
      </c>
      <c r="S13" s="26">
        <f t="shared" si="7"/>
        <v>45333.333333333336</v>
      </c>
      <c r="T13" s="26">
        <f t="shared" si="7"/>
        <v>45333.333333333336</v>
      </c>
    </row>
    <row r="15" spans="1:20" x14ac:dyDescent="0.2">
      <c r="A15" s="14" t="s">
        <v>94</v>
      </c>
      <c r="C15" s="98" t="s">
        <v>92</v>
      </c>
    </row>
    <row r="16" spans="1:20" x14ac:dyDescent="0.2">
      <c r="A16" s="13" t="str">
        <f>+A58</f>
        <v>Support</v>
      </c>
      <c r="C16" s="99" t="s">
        <v>90</v>
      </c>
      <c r="F16" s="13"/>
      <c r="I16" s="29">
        <f t="shared" ref="I16:K19" si="8">+SUMIFS(I$2:I$12,$B$2:$B$12,$A16,$C$2:$C$12,$A$50)</f>
        <v>0</v>
      </c>
      <c r="J16" s="29">
        <f t="shared" si="8"/>
        <v>0</v>
      </c>
      <c r="K16" s="29">
        <f t="shared" si="8"/>
        <v>0</v>
      </c>
      <c r="L16" s="29">
        <f t="shared" ref="L16:T19" si="9">+SUMIFS(L$2:L$12,$B$2:$B$12,$A16,$C$2:$C$12,$A$50)</f>
        <v>0</v>
      </c>
      <c r="M16" s="29">
        <f t="shared" si="9"/>
        <v>4000</v>
      </c>
      <c r="N16" s="29">
        <f t="shared" si="9"/>
        <v>12000</v>
      </c>
      <c r="O16" s="29">
        <f t="shared" si="9"/>
        <v>12000</v>
      </c>
      <c r="P16" s="29">
        <f t="shared" si="9"/>
        <v>12000</v>
      </c>
      <c r="Q16" s="29">
        <f t="shared" si="9"/>
        <v>12000</v>
      </c>
      <c r="R16" s="29">
        <f t="shared" si="9"/>
        <v>12000</v>
      </c>
      <c r="S16" s="29">
        <f t="shared" si="9"/>
        <v>12000</v>
      </c>
      <c r="T16" s="29">
        <f t="shared" si="9"/>
        <v>12000</v>
      </c>
    </row>
    <row r="17" spans="1:20" x14ac:dyDescent="0.2">
      <c r="A17" s="13" t="str">
        <f t="shared" ref="A17:A19" si="10">+A59</f>
        <v>Sales</v>
      </c>
      <c r="C17" s="99" t="s">
        <v>94</v>
      </c>
      <c r="I17" s="29">
        <f t="shared" si="8"/>
        <v>0</v>
      </c>
      <c r="J17" s="29">
        <f t="shared" si="8"/>
        <v>0</v>
      </c>
      <c r="K17" s="29">
        <f t="shared" si="8"/>
        <v>0</v>
      </c>
      <c r="L17" s="29">
        <f t="shared" si="9"/>
        <v>6666.666666666667</v>
      </c>
      <c r="M17" s="29">
        <f t="shared" si="9"/>
        <v>13333.333333333334</v>
      </c>
      <c r="N17" s="29">
        <f t="shared" si="9"/>
        <v>13333.333333333334</v>
      </c>
      <c r="O17" s="29">
        <f t="shared" si="9"/>
        <v>13333.333333333334</v>
      </c>
      <c r="P17" s="29">
        <f t="shared" si="9"/>
        <v>13333.333333333334</v>
      </c>
      <c r="Q17" s="29">
        <f t="shared" si="9"/>
        <v>13333.333333333334</v>
      </c>
      <c r="R17" s="29">
        <f t="shared" si="9"/>
        <v>13333.333333333334</v>
      </c>
      <c r="S17" s="29">
        <f t="shared" si="9"/>
        <v>13333.333333333334</v>
      </c>
      <c r="T17" s="29">
        <f t="shared" si="9"/>
        <v>13333.333333333334</v>
      </c>
    </row>
    <row r="18" spans="1:20" x14ac:dyDescent="0.2">
      <c r="A18" s="13" t="str">
        <f t="shared" si="10"/>
        <v>Engineer</v>
      </c>
      <c r="C18" s="99" t="s">
        <v>94</v>
      </c>
      <c r="I18" s="29">
        <f t="shared" si="8"/>
        <v>0</v>
      </c>
      <c r="J18" s="29">
        <f t="shared" si="8"/>
        <v>0</v>
      </c>
      <c r="K18" s="29">
        <f t="shared" si="8"/>
        <v>6666.666666666667</v>
      </c>
      <c r="L18" s="29">
        <f t="shared" si="9"/>
        <v>6666.666666666667</v>
      </c>
      <c r="M18" s="29">
        <f t="shared" si="9"/>
        <v>0</v>
      </c>
      <c r="N18" s="29">
        <f t="shared" si="9"/>
        <v>0</v>
      </c>
      <c r="O18" s="29">
        <f t="shared" si="9"/>
        <v>0</v>
      </c>
      <c r="P18" s="29">
        <f t="shared" si="9"/>
        <v>0</v>
      </c>
      <c r="Q18" s="29">
        <f t="shared" si="9"/>
        <v>0</v>
      </c>
      <c r="R18" s="29">
        <f t="shared" si="9"/>
        <v>0</v>
      </c>
      <c r="S18" s="29">
        <f t="shared" si="9"/>
        <v>0</v>
      </c>
      <c r="T18" s="29">
        <f t="shared" si="9"/>
        <v>0</v>
      </c>
    </row>
    <row r="19" spans="1:20" x14ac:dyDescent="0.2">
      <c r="A19" s="13" t="str">
        <f t="shared" si="10"/>
        <v>Founder</v>
      </c>
      <c r="C19" s="100" t="s">
        <v>94</v>
      </c>
      <c r="I19" s="29">
        <f t="shared" si="8"/>
        <v>6666.666666666667</v>
      </c>
      <c r="J19" s="29">
        <f t="shared" si="8"/>
        <v>13333.333333333334</v>
      </c>
      <c r="K19" s="29">
        <f t="shared" si="8"/>
        <v>13333.333333333334</v>
      </c>
      <c r="L19" s="29">
        <f t="shared" si="9"/>
        <v>13333.333333333334</v>
      </c>
      <c r="M19" s="29">
        <f t="shared" si="9"/>
        <v>13333.333333333334</v>
      </c>
      <c r="N19" s="29">
        <f t="shared" si="9"/>
        <v>13333.333333333334</v>
      </c>
      <c r="O19" s="29">
        <f t="shared" si="9"/>
        <v>13333.333333333334</v>
      </c>
      <c r="P19" s="29">
        <f t="shared" si="9"/>
        <v>13333.333333333334</v>
      </c>
      <c r="Q19" s="29">
        <f t="shared" si="9"/>
        <v>13333.333333333334</v>
      </c>
      <c r="R19" s="29">
        <f t="shared" si="9"/>
        <v>13333.333333333334</v>
      </c>
      <c r="S19" s="29">
        <f t="shared" si="9"/>
        <v>13333.333333333334</v>
      </c>
      <c r="T19" s="29">
        <f t="shared" si="9"/>
        <v>13333.333333333334</v>
      </c>
    </row>
    <row r="21" spans="1:20" x14ac:dyDescent="0.2">
      <c r="A21" s="14" t="s">
        <v>152</v>
      </c>
      <c r="C21" s="14"/>
    </row>
    <row r="22" spans="1:20" x14ac:dyDescent="0.2">
      <c r="A22" s="13" t="str">
        <f>A16</f>
        <v>Support</v>
      </c>
      <c r="C22" s="99" t="s">
        <v>79</v>
      </c>
      <c r="I22" s="29">
        <f t="shared" ref="I22:K25" si="11">SUMIFS(I$2:I$12,$B$2:$B$12,$A22,$C$2:$C$12,$A$51)</f>
        <v>0</v>
      </c>
      <c r="J22" s="29">
        <f t="shared" si="11"/>
        <v>0</v>
      </c>
      <c r="K22" s="29">
        <f t="shared" si="11"/>
        <v>0</v>
      </c>
      <c r="L22" s="29">
        <f t="shared" ref="L22:T25" si="12">SUMIFS(L$2:L$12,$B$2:$B$12,$A22,$C$2:$C$12,$A$51)</f>
        <v>0</v>
      </c>
      <c r="M22" s="29">
        <f t="shared" si="12"/>
        <v>0</v>
      </c>
      <c r="N22" s="29">
        <f t="shared" si="12"/>
        <v>0</v>
      </c>
      <c r="O22" s="29">
        <f t="shared" si="12"/>
        <v>0</v>
      </c>
      <c r="P22" s="29">
        <f t="shared" si="12"/>
        <v>0</v>
      </c>
      <c r="Q22" s="29">
        <f t="shared" si="12"/>
        <v>0</v>
      </c>
      <c r="R22" s="29">
        <f t="shared" si="12"/>
        <v>0</v>
      </c>
      <c r="S22" s="29">
        <f t="shared" si="12"/>
        <v>0</v>
      </c>
      <c r="T22" s="29">
        <f t="shared" si="12"/>
        <v>0</v>
      </c>
    </row>
    <row r="23" spans="1:20" x14ac:dyDescent="0.2">
      <c r="A23" s="13" t="str">
        <f t="shared" ref="A23:A25" si="13">A17</f>
        <v>Sales</v>
      </c>
      <c r="C23" s="99" t="s">
        <v>79</v>
      </c>
      <c r="I23" s="29">
        <f t="shared" si="11"/>
        <v>0</v>
      </c>
      <c r="J23" s="29">
        <f t="shared" si="11"/>
        <v>0</v>
      </c>
      <c r="K23" s="29">
        <f t="shared" si="11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0</v>
      </c>
      <c r="P23" s="29">
        <f t="shared" si="12"/>
        <v>0</v>
      </c>
      <c r="Q23" s="29">
        <f t="shared" si="12"/>
        <v>0</v>
      </c>
      <c r="R23" s="29">
        <f t="shared" si="12"/>
        <v>0</v>
      </c>
      <c r="S23" s="29">
        <f t="shared" si="12"/>
        <v>0</v>
      </c>
      <c r="T23" s="29">
        <f t="shared" si="12"/>
        <v>0</v>
      </c>
    </row>
    <row r="24" spans="1:20" x14ac:dyDescent="0.2">
      <c r="A24" s="13" t="str">
        <f t="shared" si="13"/>
        <v>Engineer</v>
      </c>
      <c r="C24" s="99" t="s">
        <v>79</v>
      </c>
      <c r="I24" s="29">
        <f t="shared" si="11"/>
        <v>0</v>
      </c>
      <c r="J24" s="29">
        <f t="shared" si="11"/>
        <v>0</v>
      </c>
      <c r="K24" s="29">
        <f t="shared" si="11"/>
        <v>0</v>
      </c>
      <c r="L24" s="29">
        <f t="shared" si="12"/>
        <v>6666.666666666667</v>
      </c>
      <c r="M24" s="29">
        <f t="shared" si="12"/>
        <v>6666.666666666667</v>
      </c>
      <c r="N24" s="29">
        <f t="shared" si="12"/>
        <v>6666.666666666667</v>
      </c>
      <c r="O24" s="29">
        <f t="shared" si="12"/>
        <v>6666.666666666667</v>
      </c>
      <c r="P24" s="29">
        <f t="shared" si="12"/>
        <v>6666.666666666667</v>
      </c>
      <c r="Q24" s="29">
        <f t="shared" si="12"/>
        <v>6666.666666666667</v>
      </c>
      <c r="R24" s="29">
        <f t="shared" si="12"/>
        <v>6666.666666666667</v>
      </c>
      <c r="S24" s="29">
        <f t="shared" si="12"/>
        <v>6666.666666666667</v>
      </c>
      <c r="T24" s="29">
        <f t="shared" si="12"/>
        <v>6666.666666666667</v>
      </c>
    </row>
    <row r="25" spans="1:20" x14ac:dyDescent="0.2">
      <c r="A25" s="13" t="str">
        <f t="shared" si="13"/>
        <v>Founder</v>
      </c>
      <c r="C25" s="100" t="s">
        <v>79</v>
      </c>
      <c r="I25" s="29">
        <f t="shared" si="11"/>
        <v>0</v>
      </c>
      <c r="J25" s="29">
        <f t="shared" si="11"/>
        <v>0</v>
      </c>
      <c r="K25" s="29">
        <f t="shared" si="11"/>
        <v>0</v>
      </c>
      <c r="L25" s="29">
        <f t="shared" si="12"/>
        <v>0</v>
      </c>
      <c r="M25" s="29">
        <f t="shared" si="12"/>
        <v>0</v>
      </c>
      <c r="N25" s="29">
        <f t="shared" si="12"/>
        <v>0</v>
      </c>
      <c r="O25" s="29">
        <f t="shared" si="12"/>
        <v>0</v>
      </c>
      <c r="P25" s="29">
        <f t="shared" si="12"/>
        <v>0</v>
      </c>
      <c r="Q25" s="29">
        <f t="shared" si="12"/>
        <v>0</v>
      </c>
      <c r="R25" s="29">
        <f t="shared" si="12"/>
        <v>0</v>
      </c>
      <c r="S25" s="29">
        <f t="shared" si="12"/>
        <v>0</v>
      </c>
      <c r="T25" s="29">
        <f t="shared" si="12"/>
        <v>0</v>
      </c>
    </row>
    <row r="26" spans="1:20" x14ac:dyDescent="0.2"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">
      <c r="A27" s="14" t="s">
        <v>18</v>
      </c>
      <c r="C27" s="98"/>
    </row>
    <row r="28" spans="1:20" x14ac:dyDescent="0.2">
      <c r="A28" s="13" t="str">
        <f>+A16</f>
        <v>Support</v>
      </c>
      <c r="C28" s="99" t="s">
        <v>89</v>
      </c>
      <c r="I28" s="29">
        <f t="shared" ref="I28:K31" si="14">+SUMIFS(I$2:I$12,$B$2:$B$12,$A28,$C$2:$C$12,$A$50)*$A$47</f>
        <v>0</v>
      </c>
      <c r="J28" s="29">
        <f t="shared" si="14"/>
        <v>0</v>
      </c>
      <c r="K28" s="29">
        <f t="shared" si="14"/>
        <v>0</v>
      </c>
      <c r="L28" s="29">
        <f t="shared" ref="L28:T31" si="15">+SUMIFS(L$2:L$12,$B$2:$B$12,$A28,$C$2:$C$12,$A$50)*$A$47</f>
        <v>0</v>
      </c>
      <c r="M28" s="29">
        <f t="shared" si="15"/>
        <v>440</v>
      </c>
      <c r="N28" s="29">
        <f t="shared" si="15"/>
        <v>1320</v>
      </c>
      <c r="O28" s="29">
        <f t="shared" si="15"/>
        <v>1320</v>
      </c>
      <c r="P28" s="29">
        <f t="shared" si="15"/>
        <v>1320</v>
      </c>
      <c r="Q28" s="29">
        <f t="shared" si="15"/>
        <v>1320</v>
      </c>
      <c r="R28" s="29">
        <f t="shared" si="15"/>
        <v>1320</v>
      </c>
      <c r="S28" s="29">
        <f t="shared" si="15"/>
        <v>1320</v>
      </c>
      <c r="T28" s="29">
        <f t="shared" si="15"/>
        <v>1320</v>
      </c>
    </row>
    <row r="29" spans="1:20" x14ac:dyDescent="0.2">
      <c r="A29" s="13" t="str">
        <f>+A17</f>
        <v>Sales</v>
      </c>
      <c r="C29" s="99" t="s">
        <v>18</v>
      </c>
      <c r="I29" s="29">
        <f t="shared" si="14"/>
        <v>0</v>
      </c>
      <c r="J29" s="29">
        <f t="shared" si="14"/>
        <v>0</v>
      </c>
      <c r="K29" s="29">
        <f t="shared" si="14"/>
        <v>0</v>
      </c>
      <c r="L29" s="29">
        <f t="shared" si="15"/>
        <v>733.33333333333337</v>
      </c>
      <c r="M29" s="29">
        <f t="shared" si="15"/>
        <v>1466.6666666666667</v>
      </c>
      <c r="N29" s="29">
        <f t="shared" si="15"/>
        <v>1466.6666666666667</v>
      </c>
      <c r="O29" s="29">
        <f t="shared" si="15"/>
        <v>1466.6666666666667</v>
      </c>
      <c r="P29" s="29">
        <f t="shared" si="15"/>
        <v>1466.6666666666667</v>
      </c>
      <c r="Q29" s="29">
        <f t="shared" si="15"/>
        <v>1466.6666666666667</v>
      </c>
      <c r="R29" s="29">
        <f t="shared" si="15"/>
        <v>1466.6666666666667</v>
      </c>
      <c r="S29" s="29">
        <f t="shared" si="15"/>
        <v>1466.6666666666667</v>
      </c>
      <c r="T29" s="29">
        <f t="shared" si="15"/>
        <v>1466.6666666666667</v>
      </c>
    </row>
    <row r="30" spans="1:20" x14ac:dyDescent="0.2">
      <c r="A30" s="13" t="str">
        <f>+A18</f>
        <v>Engineer</v>
      </c>
      <c r="C30" s="99" t="s">
        <v>18</v>
      </c>
      <c r="I30" s="29">
        <f t="shared" si="14"/>
        <v>0</v>
      </c>
      <c r="J30" s="29">
        <f t="shared" si="14"/>
        <v>0</v>
      </c>
      <c r="K30" s="29">
        <f t="shared" si="14"/>
        <v>733.33333333333337</v>
      </c>
      <c r="L30" s="29">
        <f t="shared" si="15"/>
        <v>733.33333333333337</v>
      </c>
      <c r="M30" s="29">
        <f t="shared" si="15"/>
        <v>0</v>
      </c>
      <c r="N30" s="29">
        <f t="shared" si="15"/>
        <v>0</v>
      </c>
      <c r="O30" s="29">
        <f t="shared" si="15"/>
        <v>0</v>
      </c>
      <c r="P30" s="29">
        <f t="shared" si="15"/>
        <v>0</v>
      </c>
      <c r="Q30" s="29">
        <f t="shared" si="15"/>
        <v>0</v>
      </c>
      <c r="R30" s="29">
        <f t="shared" si="15"/>
        <v>0</v>
      </c>
      <c r="S30" s="29">
        <f t="shared" si="15"/>
        <v>0</v>
      </c>
      <c r="T30" s="29">
        <f t="shared" si="15"/>
        <v>0</v>
      </c>
    </row>
    <row r="31" spans="1:20" x14ac:dyDescent="0.2">
      <c r="A31" s="13" t="str">
        <f>+A19</f>
        <v>Founder</v>
      </c>
      <c r="C31" s="100" t="s">
        <v>18</v>
      </c>
      <c r="I31" s="29">
        <f t="shared" si="14"/>
        <v>733.33333333333337</v>
      </c>
      <c r="J31" s="29">
        <f t="shared" si="14"/>
        <v>1466.6666666666667</v>
      </c>
      <c r="K31" s="29">
        <f t="shared" si="14"/>
        <v>1466.6666666666667</v>
      </c>
      <c r="L31" s="29">
        <f t="shared" si="15"/>
        <v>1466.6666666666667</v>
      </c>
      <c r="M31" s="29">
        <f t="shared" si="15"/>
        <v>1466.6666666666667</v>
      </c>
      <c r="N31" s="29">
        <f t="shared" si="15"/>
        <v>1466.6666666666667</v>
      </c>
      <c r="O31" s="29">
        <f t="shared" si="15"/>
        <v>1466.6666666666667</v>
      </c>
      <c r="P31" s="29">
        <f t="shared" si="15"/>
        <v>1466.6666666666667</v>
      </c>
      <c r="Q31" s="29">
        <f t="shared" si="15"/>
        <v>1466.6666666666667</v>
      </c>
      <c r="R31" s="29">
        <f t="shared" si="15"/>
        <v>1466.6666666666667</v>
      </c>
      <c r="S31" s="29">
        <f t="shared" si="15"/>
        <v>1466.6666666666667</v>
      </c>
      <c r="T31" s="29">
        <f t="shared" si="15"/>
        <v>1466.6666666666667</v>
      </c>
    </row>
    <row r="32" spans="1:20" x14ac:dyDescent="0.2">
      <c r="I32" s="29"/>
      <c r="J32" s="29"/>
      <c r="K32" s="29"/>
      <c r="L32" s="29"/>
      <c r="M32" s="29"/>
      <c r="N32" s="29"/>
    </row>
    <row r="33" spans="1:20" x14ac:dyDescent="0.2">
      <c r="A33" s="14" t="s">
        <v>93</v>
      </c>
      <c r="C33" s="98"/>
      <c r="G33" s="33"/>
    </row>
    <row r="34" spans="1:20" x14ac:dyDescent="0.2">
      <c r="A34" s="13" t="str">
        <f>+A28</f>
        <v>Support</v>
      </c>
      <c r="C34" s="99" t="s">
        <v>173</v>
      </c>
      <c r="I34" s="29">
        <f t="shared" ref="I34:K37" si="16">SUMIFS($E$2:$E$12,$B$2:$B$12,$A34,$D$2:$D$12,$A$54,$F$2:$F$12,"&lt;="&amp;I$1)</f>
        <v>0</v>
      </c>
      <c r="J34" s="29">
        <f t="shared" si="16"/>
        <v>0</v>
      </c>
      <c r="K34" s="29">
        <f t="shared" si="16"/>
        <v>0</v>
      </c>
      <c r="L34" s="29">
        <f t="shared" ref="L34:T37" si="17">SUMIFS($E$2:$E$12,$B$2:$B$12,$A34,$D$2:$D$12,$A$54,$F$2:$F$12,"&lt;="&amp;L$1)</f>
        <v>0</v>
      </c>
      <c r="M34" s="29">
        <f t="shared" si="17"/>
        <v>300</v>
      </c>
      <c r="N34" s="29">
        <f t="shared" si="17"/>
        <v>900</v>
      </c>
      <c r="O34" s="29">
        <f t="shared" si="17"/>
        <v>900</v>
      </c>
      <c r="P34" s="29">
        <f t="shared" si="17"/>
        <v>900</v>
      </c>
      <c r="Q34" s="29">
        <f t="shared" si="17"/>
        <v>900</v>
      </c>
      <c r="R34" s="29">
        <f t="shared" si="17"/>
        <v>900</v>
      </c>
      <c r="S34" s="29">
        <f t="shared" si="17"/>
        <v>900</v>
      </c>
      <c r="T34" s="29">
        <f t="shared" si="17"/>
        <v>900</v>
      </c>
    </row>
    <row r="35" spans="1:20" x14ac:dyDescent="0.2">
      <c r="A35" s="13" t="str">
        <f t="shared" ref="A35:A37" si="18">+A29</f>
        <v>Sales</v>
      </c>
      <c r="C35" s="99" t="s">
        <v>93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7"/>
        <v>300</v>
      </c>
      <c r="M35" s="29">
        <f t="shared" si="17"/>
        <v>600</v>
      </c>
      <c r="N35" s="29">
        <f t="shared" si="17"/>
        <v>600</v>
      </c>
      <c r="O35" s="29">
        <f t="shared" si="17"/>
        <v>600</v>
      </c>
      <c r="P35" s="29">
        <f t="shared" si="17"/>
        <v>600</v>
      </c>
      <c r="Q35" s="29">
        <f t="shared" si="17"/>
        <v>600</v>
      </c>
      <c r="R35" s="29">
        <f t="shared" si="17"/>
        <v>600</v>
      </c>
      <c r="S35" s="29">
        <f t="shared" si="17"/>
        <v>600</v>
      </c>
      <c r="T35" s="29">
        <f t="shared" si="17"/>
        <v>600</v>
      </c>
    </row>
    <row r="36" spans="1:20" x14ac:dyDescent="0.2">
      <c r="A36" s="13" t="str">
        <f t="shared" si="18"/>
        <v>Engineer</v>
      </c>
      <c r="C36" s="99" t="s">
        <v>93</v>
      </c>
      <c r="I36" s="29">
        <f t="shared" si="16"/>
        <v>0</v>
      </c>
      <c r="J36" s="29">
        <f t="shared" si="16"/>
        <v>0</v>
      </c>
      <c r="K36" s="29">
        <f t="shared" si="16"/>
        <v>300</v>
      </c>
      <c r="L36" s="29">
        <f t="shared" si="17"/>
        <v>300</v>
      </c>
      <c r="M36" s="29">
        <f t="shared" si="17"/>
        <v>300</v>
      </c>
      <c r="N36" s="29">
        <f t="shared" si="17"/>
        <v>300</v>
      </c>
      <c r="O36" s="29">
        <f t="shared" si="17"/>
        <v>300</v>
      </c>
      <c r="P36" s="29">
        <f t="shared" si="17"/>
        <v>300</v>
      </c>
      <c r="Q36" s="29">
        <f t="shared" si="17"/>
        <v>300</v>
      </c>
      <c r="R36" s="29">
        <f t="shared" si="17"/>
        <v>300</v>
      </c>
      <c r="S36" s="29">
        <f t="shared" si="17"/>
        <v>300</v>
      </c>
      <c r="T36" s="29">
        <f t="shared" si="17"/>
        <v>300</v>
      </c>
    </row>
    <row r="37" spans="1:20" x14ac:dyDescent="0.2">
      <c r="A37" s="13" t="str">
        <f t="shared" si="18"/>
        <v>Founder</v>
      </c>
      <c r="C37" s="100" t="s">
        <v>93</v>
      </c>
      <c r="I37" s="29">
        <f t="shared" si="16"/>
        <v>300</v>
      </c>
      <c r="J37" s="29">
        <f t="shared" si="16"/>
        <v>600</v>
      </c>
      <c r="K37" s="29">
        <f t="shared" si="16"/>
        <v>600</v>
      </c>
      <c r="L37" s="29">
        <f t="shared" si="17"/>
        <v>600</v>
      </c>
      <c r="M37" s="29">
        <f t="shared" si="17"/>
        <v>600</v>
      </c>
      <c r="N37" s="29">
        <f t="shared" si="17"/>
        <v>600</v>
      </c>
      <c r="O37" s="29">
        <f t="shared" si="17"/>
        <v>600</v>
      </c>
      <c r="P37" s="29">
        <f t="shared" si="17"/>
        <v>600</v>
      </c>
      <c r="Q37" s="29">
        <f t="shared" si="17"/>
        <v>600</v>
      </c>
      <c r="R37" s="29">
        <f t="shared" si="17"/>
        <v>600</v>
      </c>
      <c r="S37" s="29">
        <f t="shared" si="17"/>
        <v>600</v>
      </c>
      <c r="T37" s="29">
        <f t="shared" si="17"/>
        <v>600</v>
      </c>
    </row>
    <row r="38" spans="1:20" x14ac:dyDescent="0.2">
      <c r="I38" s="29"/>
      <c r="J38" s="29"/>
      <c r="K38" s="29"/>
      <c r="L38" s="29"/>
      <c r="M38" s="29"/>
      <c r="N38" s="29"/>
      <c r="O38" s="29"/>
    </row>
    <row r="39" spans="1:20" x14ac:dyDescent="0.2">
      <c r="A39" s="14" t="s">
        <v>22</v>
      </c>
    </row>
    <row r="40" spans="1:20" x14ac:dyDescent="0.2">
      <c r="A40" s="13" t="str">
        <f>+A34</f>
        <v>Support</v>
      </c>
      <c r="I40" s="29">
        <f t="shared" ref="I40:K40" si="19">+I16+I28+I34</f>
        <v>0</v>
      </c>
      <c r="J40" s="29">
        <f t="shared" si="19"/>
        <v>0</v>
      </c>
      <c r="K40" s="29">
        <f t="shared" si="19"/>
        <v>0</v>
      </c>
      <c r="L40" s="29">
        <f>+L16+L28+L34</f>
        <v>0</v>
      </c>
      <c r="M40" s="29">
        <f t="shared" ref="M40:T40" si="20">+M16+M28+M34</f>
        <v>4740</v>
      </c>
      <c r="N40" s="29">
        <f t="shared" si="20"/>
        <v>14220</v>
      </c>
      <c r="O40" s="29">
        <f t="shared" si="20"/>
        <v>14220</v>
      </c>
      <c r="P40" s="29">
        <f t="shared" si="20"/>
        <v>14220</v>
      </c>
      <c r="Q40" s="29">
        <f t="shared" si="20"/>
        <v>14220</v>
      </c>
      <c r="R40" s="29">
        <f t="shared" si="20"/>
        <v>14220</v>
      </c>
      <c r="S40" s="29">
        <f t="shared" si="20"/>
        <v>14220</v>
      </c>
      <c r="T40" s="29">
        <f t="shared" si="20"/>
        <v>14220</v>
      </c>
    </row>
    <row r="41" spans="1:20" x14ac:dyDescent="0.2">
      <c r="A41" s="13" t="str">
        <f t="shared" ref="A41:A43" si="21">+A35</f>
        <v>Sales</v>
      </c>
      <c r="I41" s="29">
        <f t="shared" ref="I41:K41" si="22">+I17+I29+I35</f>
        <v>0</v>
      </c>
      <c r="J41" s="29">
        <f t="shared" si="22"/>
        <v>0</v>
      </c>
      <c r="K41" s="29">
        <f t="shared" si="22"/>
        <v>0</v>
      </c>
      <c r="L41" s="29">
        <f t="shared" ref="L41:T41" si="23">+L17+L29+L35</f>
        <v>7700</v>
      </c>
      <c r="M41" s="29">
        <f t="shared" si="23"/>
        <v>15400</v>
      </c>
      <c r="N41" s="29">
        <f t="shared" si="23"/>
        <v>15400</v>
      </c>
      <c r="O41" s="29">
        <f t="shared" si="23"/>
        <v>15400</v>
      </c>
      <c r="P41" s="29">
        <f t="shared" si="23"/>
        <v>15400</v>
      </c>
      <c r="Q41" s="29">
        <f t="shared" si="23"/>
        <v>15400</v>
      </c>
      <c r="R41" s="29">
        <f t="shared" si="23"/>
        <v>15400</v>
      </c>
      <c r="S41" s="29">
        <f t="shared" si="23"/>
        <v>15400</v>
      </c>
      <c r="T41" s="29">
        <f t="shared" si="23"/>
        <v>15400</v>
      </c>
    </row>
    <row r="42" spans="1:20" x14ac:dyDescent="0.2">
      <c r="A42" s="13" t="str">
        <f t="shared" si="21"/>
        <v>Engineer</v>
      </c>
      <c r="I42" s="29">
        <f t="shared" ref="I42:K42" si="24">+I18+I30+I36</f>
        <v>0</v>
      </c>
      <c r="J42" s="29">
        <f t="shared" si="24"/>
        <v>0</v>
      </c>
      <c r="K42" s="29">
        <f t="shared" si="24"/>
        <v>7700</v>
      </c>
      <c r="L42" s="29">
        <f t="shared" ref="L42:T42" si="25">+L18+L30+L36</f>
        <v>7700</v>
      </c>
      <c r="M42" s="29">
        <f t="shared" si="25"/>
        <v>300</v>
      </c>
      <c r="N42" s="29">
        <f t="shared" si="25"/>
        <v>300</v>
      </c>
      <c r="O42" s="29">
        <f t="shared" si="25"/>
        <v>300</v>
      </c>
      <c r="P42" s="29">
        <f t="shared" si="25"/>
        <v>300</v>
      </c>
      <c r="Q42" s="29">
        <f t="shared" si="25"/>
        <v>300</v>
      </c>
      <c r="R42" s="29">
        <f t="shared" si="25"/>
        <v>300</v>
      </c>
      <c r="S42" s="29">
        <f t="shared" si="25"/>
        <v>300</v>
      </c>
      <c r="T42" s="29">
        <f t="shared" si="25"/>
        <v>300</v>
      </c>
    </row>
    <row r="43" spans="1:20" x14ac:dyDescent="0.2">
      <c r="A43" s="13" t="str">
        <f t="shared" si="21"/>
        <v>Founder</v>
      </c>
      <c r="I43" s="29">
        <f t="shared" ref="I43:K43" si="26">+I19+I31+I37</f>
        <v>7700</v>
      </c>
      <c r="J43" s="29">
        <f t="shared" si="26"/>
        <v>15400</v>
      </c>
      <c r="K43" s="29">
        <f t="shared" si="26"/>
        <v>15400</v>
      </c>
      <c r="L43" s="29">
        <f t="shared" ref="L43:T43" si="27">+L19+L31+L37</f>
        <v>15400</v>
      </c>
      <c r="M43" s="29">
        <f t="shared" si="27"/>
        <v>15400</v>
      </c>
      <c r="N43" s="29">
        <f t="shared" si="27"/>
        <v>15400</v>
      </c>
      <c r="O43" s="29">
        <f t="shared" si="27"/>
        <v>15400</v>
      </c>
      <c r="P43" s="29">
        <f t="shared" si="27"/>
        <v>15400</v>
      </c>
      <c r="Q43" s="29">
        <f t="shared" si="27"/>
        <v>15400</v>
      </c>
      <c r="R43" s="29">
        <f t="shared" si="27"/>
        <v>15400</v>
      </c>
      <c r="S43" s="29">
        <f t="shared" si="27"/>
        <v>15400</v>
      </c>
      <c r="T43" s="29">
        <f t="shared" si="27"/>
        <v>15400</v>
      </c>
    </row>
    <row r="44" spans="1:20" s="19" customFormat="1" x14ac:dyDescent="0.2">
      <c r="A44" s="19" t="s">
        <v>95</v>
      </c>
      <c r="D44" s="22"/>
      <c r="E44" s="22"/>
      <c r="F44" s="22"/>
      <c r="G44" s="22"/>
      <c r="H44" s="22"/>
      <c r="I44" s="101">
        <f t="shared" ref="I44:K44" si="28">SUM(I40:I43)</f>
        <v>7700</v>
      </c>
      <c r="J44" s="101">
        <f t="shared" si="28"/>
        <v>15400</v>
      </c>
      <c r="K44" s="101">
        <f t="shared" si="28"/>
        <v>23100</v>
      </c>
      <c r="L44" s="101">
        <f>SUM(L40:L43)</f>
        <v>30800</v>
      </c>
      <c r="M44" s="101">
        <f t="shared" ref="M44:T44" si="29">SUM(M40:M43)</f>
        <v>35840</v>
      </c>
      <c r="N44" s="101">
        <f t="shared" si="29"/>
        <v>45320</v>
      </c>
      <c r="O44" s="101">
        <f t="shared" si="29"/>
        <v>45320</v>
      </c>
      <c r="P44" s="101">
        <f t="shared" si="29"/>
        <v>45320</v>
      </c>
      <c r="Q44" s="101">
        <f t="shared" si="29"/>
        <v>45320</v>
      </c>
      <c r="R44" s="101">
        <f t="shared" si="29"/>
        <v>45320</v>
      </c>
      <c r="S44" s="101">
        <f t="shared" si="29"/>
        <v>45320</v>
      </c>
      <c r="T44" s="101">
        <f t="shared" si="29"/>
        <v>45320</v>
      </c>
    </row>
    <row r="46" spans="1:20" x14ac:dyDescent="0.2">
      <c r="A46" s="14" t="s">
        <v>91</v>
      </c>
    </row>
    <row r="47" spans="1:20" x14ac:dyDescent="0.2">
      <c r="A47" s="97">
        <v>0.11</v>
      </c>
    </row>
    <row r="49" spans="1:1" x14ac:dyDescent="0.2">
      <c r="A49" s="14" t="s">
        <v>21</v>
      </c>
    </row>
    <row r="50" spans="1:1" x14ac:dyDescent="0.2">
      <c r="A50" s="32" t="s">
        <v>13</v>
      </c>
    </row>
    <row r="51" spans="1:1" x14ac:dyDescent="0.2">
      <c r="A51" s="32" t="s">
        <v>20</v>
      </c>
    </row>
    <row r="53" spans="1:1" x14ac:dyDescent="0.2">
      <c r="A53" s="14" t="s">
        <v>45</v>
      </c>
    </row>
    <row r="54" spans="1:1" x14ac:dyDescent="0.2">
      <c r="A54" s="32" t="s">
        <v>43</v>
      </c>
    </row>
    <row r="55" spans="1:1" x14ac:dyDescent="0.2">
      <c r="A55" s="32" t="s">
        <v>44</v>
      </c>
    </row>
    <row r="57" spans="1:1" x14ac:dyDescent="0.2">
      <c r="A57" s="14" t="s">
        <v>83</v>
      </c>
    </row>
    <row r="58" spans="1:1" x14ac:dyDescent="0.2">
      <c r="A58" s="32" t="s">
        <v>84</v>
      </c>
    </row>
    <row r="59" spans="1:1" x14ac:dyDescent="0.2">
      <c r="A59" s="32" t="s">
        <v>57</v>
      </c>
    </row>
    <row r="60" spans="1:1" x14ac:dyDescent="0.2">
      <c r="A60" s="32" t="s">
        <v>85</v>
      </c>
    </row>
    <row r="61" spans="1:1" x14ac:dyDescent="0.2">
      <c r="A61" s="32" t="s">
        <v>86</v>
      </c>
    </row>
  </sheetData>
  <dataValidations count="4">
    <dataValidation type="list" allowBlank="1" showInputMessage="1" showErrorMessage="1" sqref="C2:C10">
      <formula1>$A$50:$A$51</formula1>
    </dataValidation>
    <dataValidation type="list" allowBlank="1" showInputMessage="1" showErrorMessage="1" sqref="D2:D10">
      <formula1>$A$54:$A$55</formula1>
    </dataValidation>
    <dataValidation type="list" allowBlank="1" showInputMessage="1" showErrorMessage="1" sqref="B2:B10">
      <formula1>$A$58:$A$61</formula1>
    </dataValidation>
    <dataValidation type="list" allowBlank="1" showInputMessage="1" showErrorMessage="1" sqref="C16:C19 C22:C25 C28:C31 C34:C37">
      <formula1>Profit_and_Loss_Categories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="130" zoomScaleNormal="130" workbookViewId="0">
      <selection activeCell="E8" sqref="E8"/>
    </sheetView>
  </sheetViews>
  <sheetFormatPr defaultRowHeight="12" x14ac:dyDescent="0.2"/>
  <cols>
    <col min="1" max="1" width="34.42578125" style="11" customWidth="1"/>
    <col min="2" max="13" width="12.28515625" style="11" customWidth="1"/>
    <col min="14" max="16384" width="9.140625" style="11"/>
  </cols>
  <sheetData>
    <row r="1" spans="1:13" ht="15" x14ac:dyDescent="0.25">
      <c r="A1" s="60"/>
      <c r="B1" s="10" t="str">
        <f>"PnL_"&amp;TEXT(B6,"mmm")&amp;"_"&amp;TEXT(B6,"yyyy")</f>
        <v>PnL_Jan_2017</v>
      </c>
      <c r="C1" s="10" t="str">
        <f>"PnL_"&amp;TEXT(C6,"mmm")&amp;"_"&amp;TEXT(C6,"yyyy")</f>
        <v>PnL_Feb_2017</v>
      </c>
      <c r="D1" s="10" t="str">
        <f>"PnL_"&amp;TEXT(D6,"mmm")&amp;"_"&amp;TEXT(D6,"yyyy")</f>
        <v>PnL_Mar_2017</v>
      </c>
      <c r="E1" s="10" t="str">
        <f t="shared" ref="E1:M1" si="0">"PnL_"&amp;TEXT(E6,"mmm")&amp;"_"&amp;TEXT(E6,"yyyy")</f>
        <v>PnL_Apr_2017</v>
      </c>
      <c r="F1" s="10" t="str">
        <f t="shared" si="0"/>
        <v>PnL_May_2017</v>
      </c>
      <c r="G1" s="10" t="str">
        <f t="shared" si="0"/>
        <v>PnL_Jun_2017</v>
      </c>
      <c r="H1" s="10" t="str">
        <f t="shared" si="0"/>
        <v>PnL_Jul_2017</v>
      </c>
      <c r="I1" s="10" t="str">
        <f t="shared" si="0"/>
        <v>PnL_Aug_2017</v>
      </c>
      <c r="J1" s="10" t="str">
        <f t="shared" si="0"/>
        <v>PnL_Sep_2017</v>
      </c>
      <c r="K1" s="10" t="str">
        <f t="shared" si="0"/>
        <v>PnL_Oct_2017</v>
      </c>
      <c r="L1" s="10" t="str">
        <f t="shared" si="0"/>
        <v>PnL_Nov_2017</v>
      </c>
      <c r="M1" s="10" t="str">
        <f t="shared" si="0"/>
        <v>PnL_Dec_2017</v>
      </c>
    </row>
    <row r="2" spans="1:13" ht="15" x14ac:dyDescent="0.25">
      <c r="A2" s="60" t="s">
        <v>8</v>
      </c>
      <c r="B2" s="10"/>
      <c r="C2" s="10"/>
      <c r="D2" s="10"/>
    </row>
    <row r="3" spans="1:13" ht="15" x14ac:dyDescent="0.25">
      <c r="A3" s="60" t="s">
        <v>0</v>
      </c>
    </row>
    <row r="4" spans="1:13" x14ac:dyDescent="0.2">
      <c r="A4" s="9"/>
    </row>
    <row r="6" spans="1:13" x14ac:dyDescent="0.2">
      <c r="A6" s="87" t="s">
        <v>144</v>
      </c>
      <c r="B6" s="8" t="s">
        <v>61</v>
      </c>
      <c r="C6" s="8" t="s">
        <v>62</v>
      </c>
      <c r="D6" s="8" t="s">
        <v>63</v>
      </c>
      <c r="E6" s="8" t="s">
        <v>64</v>
      </c>
      <c r="F6" s="8" t="s">
        <v>65</v>
      </c>
      <c r="G6" s="8" t="s">
        <v>66</v>
      </c>
      <c r="H6" s="8" t="s">
        <v>67</v>
      </c>
      <c r="I6" s="8" t="s">
        <v>68</v>
      </c>
      <c r="J6" s="8" t="s">
        <v>69</v>
      </c>
      <c r="K6" s="8" t="s">
        <v>70</v>
      </c>
      <c r="L6" s="8" t="s">
        <v>71</v>
      </c>
      <c r="M6" s="8" t="s">
        <v>72</v>
      </c>
    </row>
    <row r="7" spans="1:13" x14ac:dyDescent="0.2">
      <c r="A7" s="11" t="s">
        <v>1</v>
      </c>
    </row>
    <row r="8" spans="1:13" x14ac:dyDescent="0.2">
      <c r="A8" s="63" t="s">
        <v>47</v>
      </c>
      <c r="B8" s="65">
        <v>15000</v>
      </c>
      <c r="C8" s="65">
        <v>20000</v>
      </c>
      <c r="D8" s="65">
        <v>25000</v>
      </c>
      <c r="E8" s="65"/>
      <c r="F8" s="65"/>
      <c r="G8" s="65"/>
      <c r="H8" s="65"/>
      <c r="I8" s="65"/>
      <c r="J8" s="65"/>
      <c r="K8" s="65"/>
      <c r="L8" s="65"/>
      <c r="M8" s="65"/>
    </row>
    <row r="9" spans="1:13" s="61" customFormat="1" x14ac:dyDescent="0.2">
      <c r="A9" s="61" t="s">
        <v>2</v>
      </c>
      <c r="B9" s="64">
        <f>SUM(B8)</f>
        <v>15000</v>
      </c>
      <c r="C9" s="64">
        <f t="shared" ref="C9:M9" si="1">SUM(C8)</f>
        <v>20000</v>
      </c>
      <c r="D9" s="64">
        <f t="shared" si="1"/>
        <v>25000</v>
      </c>
      <c r="E9" s="64">
        <f t="shared" ref="E9" si="2">SUM(E8)</f>
        <v>0</v>
      </c>
      <c r="F9" s="64">
        <f t="shared" si="1"/>
        <v>0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</row>
    <row r="10" spans="1:13" x14ac:dyDescent="0.2">
      <c r="A10" s="11" t="s">
        <v>10</v>
      </c>
    </row>
    <row r="11" spans="1:13" x14ac:dyDescent="0.2">
      <c r="A11" s="63" t="s">
        <v>153</v>
      </c>
      <c r="B11" s="65">
        <v>3000</v>
      </c>
      <c r="C11" s="65">
        <v>4000</v>
      </c>
      <c r="D11" s="65">
        <v>5000</v>
      </c>
      <c r="E11" s="65"/>
      <c r="F11" s="65"/>
      <c r="G11" s="65"/>
      <c r="H11" s="65"/>
      <c r="I11" s="65"/>
      <c r="J11" s="65"/>
      <c r="K11" s="65"/>
      <c r="L11" s="65"/>
      <c r="M11" s="65"/>
    </row>
    <row r="12" spans="1:13" x14ac:dyDescent="0.2">
      <c r="A12" s="63" t="s">
        <v>88</v>
      </c>
      <c r="B12" s="65">
        <v>300</v>
      </c>
      <c r="C12" s="65">
        <v>300</v>
      </c>
      <c r="D12" s="65">
        <v>300</v>
      </c>
      <c r="E12" s="65"/>
      <c r="F12" s="65"/>
      <c r="G12" s="65"/>
      <c r="H12" s="65"/>
      <c r="I12" s="65"/>
      <c r="J12" s="65"/>
      <c r="K12" s="65"/>
      <c r="L12" s="65"/>
      <c r="M12" s="65"/>
    </row>
    <row r="13" spans="1:13" x14ac:dyDescent="0.2">
      <c r="A13" s="63" t="s">
        <v>89</v>
      </c>
      <c r="B13" s="65">
        <v>440</v>
      </c>
      <c r="C13" s="65">
        <v>440</v>
      </c>
      <c r="D13" s="65">
        <v>440</v>
      </c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">
      <c r="A14" s="63" t="s">
        <v>90</v>
      </c>
      <c r="B14" s="65">
        <v>4000</v>
      </c>
      <c r="C14" s="65">
        <v>4000</v>
      </c>
      <c r="D14" s="65">
        <v>4000</v>
      </c>
      <c r="E14" s="65"/>
      <c r="F14" s="65"/>
      <c r="G14" s="65"/>
      <c r="H14" s="65"/>
      <c r="I14" s="65"/>
      <c r="J14" s="65"/>
      <c r="K14" s="65"/>
      <c r="L14" s="65"/>
      <c r="M14" s="65"/>
    </row>
    <row r="15" spans="1:13" x14ac:dyDescent="0.2">
      <c r="A15" s="61" t="s">
        <v>11</v>
      </c>
      <c r="B15" s="64">
        <f>SUM(B11:B14)</f>
        <v>7740</v>
      </c>
      <c r="C15" s="64">
        <f t="shared" ref="C15:M15" si="3">SUM(C11:C14)</f>
        <v>8740</v>
      </c>
      <c r="D15" s="64">
        <f t="shared" si="3"/>
        <v>9740</v>
      </c>
      <c r="E15" s="64">
        <f t="shared" ref="E15" si="4">SUM(E11:E14)</f>
        <v>0</v>
      </c>
      <c r="F15" s="64">
        <f t="shared" si="3"/>
        <v>0</v>
      </c>
      <c r="G15" s="64">
        <f t="shared" si="3"/>
        <v>0</v>
      </c>
      <c r="H15" s="64">
        <f t="shared" si="3"/>
        <v>0</v>
      </c>
      <c r="I15" s="64">
        <f t="shared" si="3"/>
        <v>0</v>
      </c>
      <c r="J15" s="64">
        <f t="shared" si="3"/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</row>
    <row r="16" spans="1:13" x14ac:dyDescent="0.2">
      <c r="A16" s="61" t="s">
        <v>3</v>
      </c>
      <c r="B16" s="64">
        <f t="shared" ref="B16:M16" si="5">+B9-B15</f>
        <v>7260</v>
      </c>
      <c r="C16" s="64">
        <f t="shared" si="5"/>
        <v>11260</v>
      </c>
      <c r="D16" s="64">
        <f t="shared" si="5"/>
        <v>15260</v>
      </c>
      <c r="E16" s="64">
        <f t="shared" ref="E16" si="6">+E9-E15</f>
        <v>0</v>
      </c>
      <c r="F16" s="64">
        <f t="shared" si="5"/>
        <v>0</v>
      </c>
      <c r="G16" s="64">
        <f t="shared" si="5"/>
        <v>0</v>
      </c>
      <c r="H16" s="64">
        <f t="shared" si="5"/>
        <v>0</v>
      </c>
      <c r="I16" s="64">
        <f t="shared" si="5"/>
        <v>0</v>
      </c>
      <c r="J16" s="64">
        <f t="shared" si="5"/>
        <v>0</v>
      </c>
      <c r="K16" s="64">
        <f t="shared" si="5"/>
        <v>0</v>
      </c>
      <c r="L16" s="64">
        <f t="shared" si="5"/>
        <v>0</v>
      </c>
      <c r="M16" s="64">
        <f t="shared" si="5"/>
        <v>0</v>
      </c>
    </row>
    <row r="17" spans="1:13" x14ac:dyDescent="0.2">
      <c r="A17" s="62" t="s">
        <v>4</v>
      </c>
    </row>
    <row r="18" spans="1:13" x14ac:dyDescent="0.2">
      <c r="A18" s="63" t="s">
        <v>24</v>
      </c>
      <c r="B18" s="65">
        <v>20</v>
      </c>
      <c r="C18" s="65">
        <v>20</v>
      </c>
      <c r="D18" s="65">
        <v>20</v>
      </c>
      <c r="E18" s="65"/>
      <c r="F18" s="65"/>
      <c r="G18" s="65"/>
      <c r="H18" s="65"/>
      <c r="I18" s="65"/>
      <c r="J18" s="65"/>
      <c r="K18" s="65"/>
      <c r="L18" s="65"/>
      <c r="M18" s="65"/>
    </row>
    <row r="19" spans="1:13" x14ac:dyDescent="0.2">
      <c r="A19" s="63" t="s">
        <v>79</v>
      </c>
      <c r="B19" s="65">
        <v>2000</v>
      </c>
      <c r="C19" s="65">
        <v>2000</v>
      </c>
      <c r="D19" s="65">
        <v>2000</v>
      </c>
      <c r="E19" s="65"/>
      <c r="F19" s="65"/>
      <c r="G19" s="65"/>
      <c r="H19" s="65"/>
      <c r="I19" s="65"/>
      <c r="J19" s="65"/>
      <c r="K19" s="65"/>
      <c r="L19" s="65"/>
      <c r="M19" s="65"/>
    </row>
    <row r="20" spans="1:13" x14ac:dyDescent="0.2">
      <c r="A20" s="63" t="s">
        <v>28</v>
      </c>
      <c r="B20" s="65">
        <v>500</v>
      </c>
      <c r="C20" s="65">
        <v>500</v>
      </c>
      <c r="D20" s="65">
        <v>500</v>
      </c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63" t="s">
        <v>23</v>
      </c>
      <c r="B21" s="65">
        <v>150</v>
      </c>
      <c r="C21" s="65">
        <v>150</v>
      </c>
      <c r="D21" s="65">
        <v>150</v>
      </c>
      <c r="E21" s="65"/>
      <c r="F21" s="65"/>
      <c r="G21" s="65"/>
      <c r="H21" s="65"/>
      <c r="I21" s="65"/>
      <c r="J21" s="65"/>
      <c r="K21" s="65"/>
      <c r="L21" s="65"/>
      <c r="M21" s="65"/>
    </row>
    <row r="22" spans="1:13" x14ac:dyDescent="0.2">
      <c r="A22" s="63" t="s">
        <v>25</v>
      </c>
      <c r="B22" s="65">
        <v>2000</v>
      </c>
      <c r="C22" s="65">
        <v>2000</v>
      </c>
      <c r="D22" s="65">
        <v>2000</v>
      </c>
      <c r="E22" s="65"/>
      <c r="F22" s="65"/>
      <c r="G22" s="65"/>
      <c r="H22" s="65"/>
      <c r="I22" s="65"/>
      <c r="J22" s="65"/>
      <c r="K22" s="65"/>
      <c r="L22" s="65"/>
      <c r="M22" s="65"/>
    </row>
    <row r="23" spans="1:13" x14ac:dyDescent="0.2">
      <c r="A23" s="63" t="s">
        <v>93</v>
      </c>
      <c r="B23" s="65">
        <v>733.33333333333337</v>
      </c>
      <c r="C23" s="65">
        <v>1466.6666666666667</v>
      </c>
      <c r="D23" s="65">
        <v>2000</v>
      </c>
      <c r="E23" s="65"/>
      <c r="F23" s="65"/>
      <c r="G23" s="65"/>
      <c r="H23" s="65"/>
      <c r="I23" s="65"/>
      <c r="J23" s="65"/>
      <c r="K23" s="65"/>
      <c r="L23" s="65"/>
      <c r="M23" s="65"/>
    </row>
    <row r="24" spans="1:13" x14ac:dyDescent="0.2">
      <c r="A24" s="63" t="s">
        <v>18</v>
      </c>
      <c r="B24" s="65">
        <v>550</v>
      </c>
      <c r="C24" s="65">
        <v>1100</v>
      </c>
      <c r="D24" s="65">
        <v>1650</v>
      </c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63" t="s">
        <v>94</v>
      </c>
      <c r="B25" s="65">
        <v>7700</v>
      </c>
      <c r="C25" s="65">
        <v>15400</v>
      </c>
      <c r="D25" s="65">
        <v>23100</v>
      </c>
      <c r="E25" s="65"/>
      <c r="F25" s="65"/>
      <c r="G25" s="65"/>
      <c r="H25" s="65"/>
      <c r="I25" s="65"/>
      <c r="J25" s="65"/>
      <c r="K25" s="65"/>
      <c r="L25" s="65"/>
      <c r="M25" s="65"/>
    </row>
    <row r="26" spans="1:13" x14ac:dyDescent="0.2">
      <c r="A26" s="63" t="s">
        <v>129</v>
      </c>
      <c r="B26" s="65">
        <v>1800</v>
      </c>
      <c r="C26" s="65">
        <v>1900</v>
      </c>
      <c r="D26" s="65">
        <v>2000</v>
      </c>
      <c r="E26" s="65"/>
      <c r="F26" s="65"/>
      <c r="G26" s="65"/>
      <c r="H26" s="65"/>
      <c r="I26" s="65"/>
      <c r="J26" s="65"/>
      <c r="K26" s="65"/>
      <c r="L26" s="65"/>
      <c r="M26" s="65"/>
    </row>
    <row r="27" spans="1:13" x14ac:dyDescent="0.2">
      <c r="A27" s="63" t="s">
        <v>27</v>
      </c>
      <c r="B27" s="65">
        <v>200</v>
      </c>
      <c r="C27" s="65">
        <v>200</v>
      </c>
      <c r="D27" s="65">
        <v>200</v>
      </c>
      <c r="E27" s="65"/>
      <c r="F27" s="65"/>
      <c r="G27" s="65"/>
      <c r="H27" s="65"/>
      <c r="I27" s="65"/>
      <c r="J27" s="65"/>
      <c r="K27" s="65"/>
      <c r="L27" s="65"/>
      <c r="M27" s="65"/>
    </row>
    <row r="28" spans="1:13" s="63" customFormat="1" x14ac:dyDescent="0.2">
      <c r="A28" s="63" t="s">
        <v>26</v>
      </c>
      <c r="B28" s="65">
        <v>200</v>
      </c>
      <c r="C28" s="65">
        <v>200</v>
      </c>
      <c r="D28" s="65">
        <v>200</v>
      </c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2">
      <c r="A29" s="61" t="s">
        <v>35</v>
      </c>
      <c r="B29" s="64">
        <f t="shared" ref="B29:M29" si="7">SUM(B18:B28)</f>
        <v>15853.333333333332</v>
      </c>
      <c r="C29" s="64">
        <f t="shared" si="7"/>
        <v>24936.666666666668</v>
      </c>
      <c r="D29" s="64">
        <f t="shared" si="7"/>
        <v>33820</v>
      </c>
      <c r="E29" s="64">
        <f t="shared" ref="E29" si="8">SUM(E18:E28)</f>
        <v>0</v>
      </c>
      <c r="F29" s="64">
        <f t="shared" si="7"/>
        <v>0</v>
      </c>
      <c r="G29" s="64">
        <f t="shared" si="7"/>
        <v>0</v>
      </c>
      <c r="H29" s="64">
        <f t="shared" si="7"/>
        <v>0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</row>
    <row r="30" spans="1:13" x14ac:dyDescent="0.2">
      <c r="A30" s="61" t="s">
        <v>5</v>
      </c>
      <c r="B30" s="64">
        <f t="shared" ref="B30:M30" si="9">+B9-B15-B29</f>
        <v>-8593.3333333333321</v>
      </c>
      <c r="C30" s="64">
        <f t="shared" si="9"/>
        <v>-13676.666666666668</v>
      </c>
      <c r="D30" s="64">
        <f t="shared" si="9"/>
        <v>-18560</v>
      </c>
      <c r="E30" s="64">
        <f t="shared" ref="E30" si="10">+E9-E15-E29</f>
        <v>0</v>
      </c>
      <c r="F30" s="64">
        <f t="shared" si="9"/>
        <v>0</v>
      </c>
      <c r="G30" s="64">
        <f t="shared" si="9"/>
        <v>0</v>
      </c>
      <c r="H30" s="64">
        <f t="shared" si="9"/>
        <v>0</v>
      </c>
      <c r="I30" s="64">
        <f t="shared" si="9"/>
        <v>0</v>
      </c>
      <c r="J30" s="64">
        <f t="shared" si="9"/>
        <v>0</v>
      </c>
      <c r="K30" s="64">
        <f t="shared" si="9"/>
        <v>0</v>
      </c>
      <c r="L30" s="64">
        <f t="shared" si="9"/>
        <v>0</v>
      </c>
      <c r="M30" s="64">
        <f t="shared" si="9"/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selection activeCell="A2" sqref="A2:G91"/>
    </sheetView>
  </sheetViews>
  <sheetFormatPr defaultRowHeight="12" x14ac:dyDescent="0.2"/>
  <cols>
    <col min="1" max="7" width="15.7109375" style="13" customWidth="1"/>
    <col min="8" max="16384" width="9.140625" style="13"/>
  </cols>
  <sheetData>
    <row r="1" spans="1:7" x14ac:dyDescent="0.2">
      <c r="A1" s="134" t="s">
        <v>158</v>
      </c>
      <c r="B1" s="135" t="s">
        <v>159</v>
      </c>
      <c r="C1" s="135" t="s">
        <v>160</v>
      </c>
      <c r="D1" s="135" t="s">
        <v>161</v>
      </c>
      <c r="E1" s="135" t="s">
        <v>162</v>
      </c>
      <c r="F1" s="135" t="s">
        <v>163</v>
      </c>
      <c r="G1" s="135" t="s">
        <v>164</v>
      </c>
    </row>
    <row r="2" spans="1:7" x14ac:dyDescent="0.2">
      <c r="A2" s="169"/>
      <c r="B2" s="170"/>
      <c r="C2" s="170"/>
      <c r="D2" s="170"/>
      <c r="E2" s="170"/>
      <c r="F2" s="170"/>
      <c r="G2" s="170"/>
    </row>
    <row r="3" spans="1:7" x14ac:dyDescent="0.2">
      <c r="A3" s="169"/>
      <c r="B3" s="170"/>
      <c r="C3" s="170"/>
      <c r="D3" s="170"/>
      <c r="E3" s="170"/>
      <c r="F3" s="170"/>
      <c r="G3" s="170"/>
    </row>
    <row r="4" spans="1:7" x14ac:dyDescent="0.2">
      <c r="A4" s="169"/>
      <c r="B4" s="170"/>
      <c r="C4" s="170"/>
      <c r="D4" s="170"/>
      <c r="E4" s="170"/>
      <c r="F4" s="170"/>
      <c r="G4" s="170"/>
    </row>
    <row r="5" spans="1:7" x14ac:dyDescent="0.2">
      <c r="A5" s="169"/>
      <c r="B5" s="170"/>
      <c r="C5" s="170"/>
      <c r="D5" s="170"/>
      <c r="E5" s="170"/>
      <c r="F5" s="170"/>
      <c r="G5" s="170"/>
    </row>
    <row r="6" spans="1:7" x14ac:dyDescent="0.2">
      <c r="A6" s="169"/>
      <c r="B6" s="170"/>
      <c r="C6" s="170"/>
      <c r="D6" s="170"/>
      <c r="E6" s="170"/>
      <c r="F6" s="170"/>
      <c r="G6" s="170"/>
    </row>
    <row r="7" spans="1:7" x14ac:dyDescent="0.2">
      <c r="A7" s="169"/>
      <c r="B7" s="170"/>
      <c r="C7" s="170"/>
      <c r="D7" s="170"/>
      <c r="E7" s="170"/>
      <c r="F7" s="170"/>
      <c r="G7" s="170"/>
    </row>
    <row r="8" spans="1:7" x14ac:dyDescent="0.2">
      <c r="A8" s="169"/>
      <c r="B8" s="170"/>
      <c r="C8" s="170"/>
      <c r="D8" s="170"/>
      <c r="E8" s="170"/>
      <c r="F8" s="170"/>
      <c r="G8" s="170"/>
    </row>
    <row r="9" spans="1:7" x14ac:dyDescent="0.2">
      <c r="A9" s="169"/>
      <c r="B9" s="170"/>
      <c r="C9" s="170"/>
      <c r="D9" s="170"/>
      <c r="E9" s="170"/>
      <c r="F9" s="170"/>
      <c r="G9" s="170"/>
    </row>
    <row r="10" spans="1:7" x14ac:dyDescent="0.2">
      <c r="A10" s="169"/>
      <c r="B10" s="170"/>
      <c r="C10" s="170"/>
      <c r="D10" s="170"/>
      <c r="E10" s="170"/>
      <c r="F10" s="170"/>
      <c r="G10" s="170"/>
    </row>
    <row r="11" spans="1:7" x14ac:dyDescent="0.2">
      <c r="A11" s="169"/>
      <c r="B11" s="170"/>
      <c r="C11" s="170"/>
      <c r="D11" s="170"/>
      <c r="E11" s="170"/>
      <c r="F11" s="170"/>
      <c r="G11" s="170"/>
    </row>
    <row r="12" spans="1:7" x14ac:dyDescent="0.2">
      <c r="A12" s="169"/>
      <c r="B12" s="170"/>
      <c r="C12" s="170"/>
      <c r="D12" s="170"/>
      <c r="E12" s="170"/>
      <c r="F12" s="170"/>
      <c r="G12" s="170"/>
    </row>
    <row r="13" spans="1:7" x14ac:dyDescent="0.2">
      <c r="A13" s="169"/>
      <c r="B13" s="170"/>
      <c r="C13" s="170"/>
      <c r="D13" s="170"/>
      <c r="E13" s="170"/>
      <c r="F13" s="170"/>
      <c r="G13" s="170"/>
    </row>
    <row r="14" spans="1:7" x14ac:dyDescent="0.2">
      <c r="A14" s="169"/>
      <c r="B14" s="170"/>
      <c r="C14" s="170"/>
      <c r="D14" s="170"/>
      <c r="E14" s="170"/>
      <c r="F14" s="170"/>
      <c r="G14" s="170"/>
    </row>
    <row r="15" spans="1:7" x14ac:dyDescent="0.2">
      <c r="A15" s="169"/>
      <c r="B15" s="170"/>
      <c r="C15" s="170"/>
      <c r="D15" s="170"/>
      <c r="E15" s="170"/>
      <c r="F15" s="170"/>
      <c r="G15" s="170"/>
    </row>
    <row r="16" spans="1:7" x14ac:dyDescent="0.2">
      <c r="A16" s="169"/>
      <c r="B16" s="170"/>
      <c r="C16" s="170"/>
      <c r="D16" s="170"/>
      <c r="E16" s="170"/>
      <c r="F16" s="170"/>
      <c r="G16" s="170"/>
    </row>
    <row r="17" spans="1:7" x14ac:dyDescent="0.2">
      <c r="A17" s="169"/>
      <c r="B17" s="170"/>
      <c r="C17" s="170"/>
      <c r="D17" s="170"/>
      <c r="E17" s="170"/>
      <c r="F17" s="170"/>
      <c r="G17" s="170"/>
    </row>
    <row r="18" spans="1:7" x14ac:dyDescent="0.2">
      <c r="A18" s="169"/>
      <c r="B18" s="170"/>
      <c r="C18" s="170"/>
      <c r="D18" s="170"/>
      <c r="E18" s="170"/>
      <c r="F18" s="170"/>
      <c r="G18" s="170"/>
    </row>
    <row r="19" spans="1:7" x14ac:dyDescent="0.2">
      <c r="A19" s="169"/>
      <c r="B19" s="170"/>
      <c r="C19" s="170"/>
      <c r="D19" s="170"/>
      <c r="E19" s="170"/>
      <c r="F19" s="170"/>
      <c r="G19" s="170"/>
    </row>
    <row r="20" spans="1:7" x14ac:dyDescent="0.2">
      <c r="A20" s="169"/>
      <c r="B20" s="170"/>
      <c r="C20" s="170"/>
      <c r="D20" s="170"/>
      <c r="E20" s="170"/>
      <c r="F20" s="170"/>
      <c r="G20" s="170"/>
    </row>
    <row r="21" spans="1:7" x14ac:dyDescent="0.2">
      <c r="A21" s="169"/>
      <c r="B21" s="170"/>
      <c r="C21" s="170"/>
      <c r="D21" s="170"/>
      <c r="E21" s="170"/>
      <c r="F21" s="170"/>
      <c r="G21" s="170"/>
    </row>
    <row r="22" spans="1:7" x14ac:dyDescent="0.2">
      <c r="A22" s="169"/>
      <c r="B22" s="170"/>
      <c r="C22" s="170"/>
      <c r="D22" s="170"/>
      <c r="E22" s="170"/>
      <c r="F22" s="170"/>
      <c r="G22" s="170"/>
    </row>
    <row r="23" spans="1:7" x14ac:dyDescent="0.2">
      <c r="A23" s="169"/>
      <c r="B23" s="170"/>
      <c r="C23" s="170"/>
      <c r="D23" s="170"/>
      <c r="E23" s="170"/>
      <c r="F23" s="170"/>
      <c r="G23" s="170"/>
    </row>
    <row r="24" spans="1:7" x14ac:dyDescent="0.2">
      <c r="A24" s="169"/>
      <c r="B24" s="170"/>
      <c r="C24" s="170"/>
      <c r="D24" s="170"/>
      <c r="E24" s="170"/>
      <c r="F24" s="170"/>
      <c r="G24" s="170"/>
    </row>
    <row r="25" spans="1:7" x14ac:dyDescent="0.2">
      <c r="A25" s="169"/>
      <c r="B25" s="170"/>
      <c r="C25" s="170"/>
      <c r="D25" s="170"/>
      <c r="E25" s="170"/>
      <c r="F25" s="170"/>
      <c r="G25" s="170"/>
    </row>
    <row r="26" spans="1:7" x14ac:dyDescent="0.2">
      <c r="A26" s="169"/>
      <c r="B26" s="170"/>
      <c r="C26" s="170"/>
      <c r="D26" s="170"/>
      <c r="E26" s="170"/>
      <c r="F26" s="170"/>
      <c r="G26" s="170"/>
    </row>
    <row r="27" spans="1:7" x14ac:dyDescent="0.2">
      <c r="A27" s="169"/>
      <c r="B27" s="170"/>
      <c r="C27" s="170"/>
      <c r="D27" s="170"/>
      <c r="E27" s="170"/>
      <c r="F27" s="170"/>
      <c r="G27" s="170"/>
    </row>
    <row r="28" spans="1:7" x14ac:dyDescent="0.2">
      <c r="A28" s="169"/>
      <c r="B28" s="170"/>
      <c r="C28" s="170"/>
      <c r="D28" s="170"/>
      <c r="E28" s="170"/>
      <c r="F28" s="170"/>
      <c r="G28" s="170"/>
    </row>
    <row r="29" spans="1:7" x14ac:dyDescent="0.2">
      <c r="A29" s="169"/>
      <c r="B29" s="170"/>
      <c r="C29" s="170"/>
      <c r="D29" s="170"/>
      <c r="E29" s="170"/>
      <c r="F29" s="170"/>
      <c r="G29" s="170"/>
    </row>
    <row r="30" spans="1:7" x14ac:dyDescent="0.2">
      <c r="A30" s="169"/>
      <c r="B30" s="170"/>
      <c r="C30" s="170"/>
      <c r="D30" s="170"/>
      <c r="E30" s="170"/>
      <c r="F30" s="170"/>
      <c r="G30" s="170"/>
    </row>
    <row r="31" spans="1:7" x14ac:dyDescent="0.2">
      <c r="A31" s="169"/>
      <c r="B31" s="170"/>
      <c r="C31" s="170"/>
      <c r="D31" s="170"/>
      <c r="E31" s="170"/>
      <c r="F31" s="170"/>
      <c r="G31" s="170"/>
    </row>
    <row r="32" spans="1:7" x14ac:dyDescent="0.2">
      <c r="A32" s="169"/>
      <c r="B32" s="170"/>
      <c r="C32" s="170"/>
      <c r="D32" s="170"/>
      <c r="E32" s="170"/>
      <c r="F32" s="170"/>
      <c r="G32" s="170"/>
    </row>
    <row r="33" spans="1:7" x14ac:dyDescent="0.2">
      <c r="A33" s="169"/>
      <c r="B33" s="170"/>
      <c r="C33" s="170"/>
      <c r="D33" s="170"/>
      <c r="E33" s="170"/>
      <c r="F33" s="170"/>
      <c r="G33" s="170"/>
    </row>
    <row r="34" spans="1:7" x14ac:dyDescent="0.2">
      <c r="A34" s="169"/>
      <c r="B34" s="170"/>
      <c r="C34" s="170"/>
      <c r="D34" s="170"/>
      <c r="E34" s="170"/>
      <c r="F34" s="170"/>
      <c r="G34" s="170"/>
    </row>
    <row r="35" spans="1:7" x14ac:dyDescent="0.2">
      <c r="A35" s="169"/>
      <c r="B35" s="170"/>
      <c r="C35" s="170"/>
      <c r="D35" s="170"/>
      <c r="E35" s="170"/>
      <c r="F35" s="170"/>
      <c r="G35" s="170"/>
    </row>
    <row r="36" spans="1:7" x14ac:dyDescent="0.2">
      <c r="A36" s="169"/>
      <c r="B36" s="170"/>
      <c r="C36" s="170"/>
      <c r="D36" s="170"/>
      <c r="E36" s="170"/>
      <c r="F36" s="170"/>
      <c r="G36" s="170"/>
    </row>
    <row r="37" spans="1:7" x14ac:dyDescent="0.2">
      <c r="A37" s="169"/>
      <c r="B37" s="170"/>
      <c r="C37" s="170"/>
      <c r="D37" s="170"/>
      <c r="E37" s="170"/>
      <c r="F37" s="170"/>
      <c r="G37" s="170"/>
    </row>
    <row r="38" spans="1:7" x14ac:dyDescent="0.2">
      <c r="A38" s="169"/>
      <c r="B38" s="170"/>
      <c r="C38" s="170"/>
      <c r="D38" s="170"/>
      <c r="E38" s="170"/>
      <c r="F38" s="170"/>
      <c r="G38" s="170"/>
    </row>
    <row r="39" spans="1:7" x14ac:dyDescent="0.2">
      <c r="A39" s="169"/>
      <c r="B39" s="170"/>
      <c r="C39" s="170"/>
      <c r="D39" s="170"/>
      <c r="E39" s="170"/>
      <c r="F39" s="170"/>
      <c r="G39" s="170"/>
    </row>
    <row r="40" spans="1:7" x14ac:dyDescent="0.2">
      <c r="A40" s="169"/>
      <c r="B40" s="170"/>
      <c r="C40" s="170"/>
      <c r="D40" s="170"/>
      <c r="E40" s="170"/>
      <c r="F40" s="170"/>
      <c r="G40" s="170"/>
    </row>
    <row r="41" spans="1:7" x14ac:dyDescent="0.2">
      <c r="A41" s="169"/>
      <c r="B41" s="170"/>
      <c r="C41" s="170"/>
      <c r="D41" s="170"/>
      <c r="E41" s="170"/>
      <c r="F41" s="170"/>
      <c r="G41" s="170"/>
    </row>
    <row r="42" spans="1:7" x14ac:dyDescent="0.2">
      <c r="A42" s="169"/>
      <c r="B42" s="170"/>
      <c r="C42" s="170"/>
      <c r="D42" s="170"/>
      <c r="E42" s="170"/>
      <c r="F42" s="170"/>
      <c r="G42" s="170"/>
    </row>
    <row r="43" spans="1:7" x14ac:dyDescent="0.2">
      <c r="A43" s="169"/>
      <c r="B43" s="170"/>
      <c r="C43" s="170"/>
      <c r="D43" s="170"/>
      <c r="E43" s="170"/>
      <c r="F43" s="170"/>
      <c r="G43" s="170"/>
    </row>
    <row r="44" spans="1:7" x14ac:dyDescent="0.2">
      <c r="A44" s="169"/>
      <c r="B44" s="170"/>
      <c r="C44" s="170"/>
      <c r="D44" s="170"/>
      <c r="E44" s="170"/>
      <c r="F44" s="170"/>
      <c r="G44" s="170"/>
    </row>
    <row r="45" spans="1:7" x14ac:dyDescent="0.2">
      <c r="A45" s="169"/>
      <c r="B45" s="170"/>
      <c r="C45" s="170"/>
      <c r="D45" s="170"/>
      <c r="E45" s="170"/>
      <c r="F45" s="170"/>
      <c r="G45" s="170"/>
    </row>
    <row r="46" spans="1:7" x14ac:dyDescent="0.2">
      <c r="A46" s="169"/>
      <c r="B46" s="170"/>
      <c r="C46" s="170"/>
      <c r="D46" s="170"/>
      <c r="E46" s="170"/>
      <c r="F46" s="170"/>
      <c r="G46" s="170"/>
    </row>
    <row r="47" spans="1:7" x14ac:dyDescent="0.2">
      <c r="A47" s="169"/>
      <c r="B47" s="170"/>
      <c r="C47" s="170"/>
      <c r="D47" s="170"/>
      <c r="E47" s="170"/>
      <c r="F47" s="170"/>
      <c r="G47" s="170"/>
    </row>
    <row r="48" spans="1:7" x14ac:dyDescent="0.2">
      <c r="A48" s="169"/>
      <c r="B48" s="170"/>
      <c r="C48" s="170"/>
      <c r="D48" s="170"/>
      <c r="E48" s="170"/>
      <c r="F48" s="170"/>
      <c r="G48" s="170"/>
    </row>
    <row r="49" spans="1:7" x14ac:dyDescent="0.2">
      <c r="A49" s="169"/>
      <c r="B49" s="170"/>
      <c r="C49" s="170"/>
      <c r="D49" s="170"/>
      <c r="E49" s="170"/>
      <c r="F49" s="170"/>
      <c r="G49" s="170"/>
    </row>
    <row r="50" spans="1:7" x14ac:dyDescent="0.2">
      <c r="A50" s="169"/>
      <c r="B50" s="170"/>
      <c r="C50" s="170"/>
      <c r="D50" s="170"/>
      <c r="E50" s="170"/>
      <c r="F50" s="170"/>
      <c r="G50" s="170"/>
    </row>
    <row r="51" spans="1:7" x14ac:dyDescent="0.2">
      <c r="A51" s="169"/>
      <c r="B51" s="170"/>
      <c r="C51" s="170"/>
      <c r="D51" s="170"/>
      <c r="E51" s="170"/>
      <c r="F51" s="170"/>
      <c r="G51" s="170"/>
    </row>
    <row r="52" spans="1:7" x14ac:dyDescent="0.2">
      <c r="A52" s="169"/>
      <c r="B52" s="170"/>
      <c r="C52" s="170"/>
      <c r="D52" s="170"/>
      <c r="E52" s="170"/>
      <c r="F52" s="170"/>
      <c r="G52" s="170"/>
    </row>
    <row r="53" spans="1:7" x14ac:dyDescent="0.2">
      <c r="A53" s="169"/>
      <c r="B53" s="170"/>
      <c r="C53" s="170"/>
      <c r="D53" s="170"/>
      <c r="E53" s="170"/>
      <c r="F53" s="170"/>
      <c r="G53" s="170"/>
    </row>
    <row r="54" spans="1:7" x14ac:dyDescent="0.2">
      <c r="A54" s="169"/>
      <c r="B54" s="170"/>
      <c r="C54" s="170"/>
      <c r="D54" s="170"/>
      <c r="E54" s="170"/>
      <c r="F54" s="170"/>
      <c r="G54" s="170"/>
    </row>
    <row r="55" spans="1:7" x14ac:dyDescent="0.2">
      <c r="A55" s="169"/>
      <c r="B55" s="170"/>
      <c r="C55" s="170"/>
      <c r="D55" s="170"/>
      <c r="E55" s="170"/>
      <c r="F55" s="170"/>
      <c r="G55" s="170"/>
    </row>
    <row r="56" spans="1:7" x14ac:dyDescent="0.2">
      <c r="A56" s="169"/>
      <c r="B56" s="170"/>
      <c r="C56" s="170"/>
      <c r="D56" s="170"/>
      <c r="E56" s="170"/>
      <c r="F56" s="170"/>
      <c r="G56" s="170"/>
    </row>
    <row r="57" spans="1:7" x14ac:dyDescent="0.2">
      <c r="A57" s="169"/>
      <c r="B57" s="170"/>
      <c r="C57" s="170"/>
      <c r="D57" s="170"/>
      <c r="E57" s="170"/>
      <c r="F57" s="170"/>
      <c r="G57" s="170"/>
    </row>
    <row r="58" spans="1:7" x14ac:dyDescent="0.2">
      <c r="A58" s="169"/>
      <c r="B58" s="170"/>
      <c r="C58" s="170"/>
      <c r="D58" s="170"/>
      <c r="E58" s="170"/>
      <c r="F58" s="170"/>
      <c r="G58" s="170"/>
    </row>
    <row r="59" spans="1:7" x14ac:dyDescent="0.2">
      <c r="A59" s="169"/>
      <c r="B59" s="170"/>
      <c r="C59" s="170"/>
      <c r="D59" s="170"/>
      <c r="E59" s="170"/>
      <c r="F59" s="170"/>
      <c r="G59" s="170"/>
    </row>
    <row r="60" spans="1:7" x14ac:dyDescent="0.2">
      <c r="A60" s="169"/>
      <c r="B60" s="170"/>
      <c r="C60" s="170"/>
      <c r="D60" s="170"/>
      <c r="E60" s="170"/>
      <c r="F60" s="170"/>
      <c r="G60" s="170"/>
    </row>
    <row r="61" spans="1:7" x14ac:dyDescent="0.2">
      <c r="A61" s="169"/>
      <c r="B61" s="170"/>
      <c r="C61" s="170"/>
      <c r="D61" s="170"/>
      <c r="E61" s="170"/>
      <c r="F61" s="170"/>
      <c r="G61" s="170"/>
    </row>
    <row r="62" spans="1:7" x14ac:dyDescent="0.2">
      <c r="A62" s="169"/>
      <c r="B62" s="170"/>
      <c r="C62" s="170"/>
      <c r="D62" s="170"/>
      <c r="E62" s="170"/>
      <c r="F62" s="170"/>
      <c r="G62" s="170"/>
    </row>
    <row r="63" spans="1:7" x14ac:dyDescent="0.2">
      <c r="A63" s="169"/>
      <c r="B63" s="170"/>
      <c r="C63" s="170"/>
      <c r="D63" s="170"/>
      <c r="E63" s="170"/>
      <c r="F63" s="170"/>
      <c r="G63" s="170"/>
    </row>
    <row r="64" spans="1:7" x14ac:dyDescent="0.2">
      <c r="A64" s="169"/>
      <c r="B64" s="170"/>
      <c r="C64" s="170"/>
      <c r="D64" s="170"/>
      <c r="E64" s="170"/>
      <c r="F64" s="170"/>
      <c r="G64" s="170"/>
    </row>
    <row r="65" spans="1:7" x14ac:dyDescent="0.2">
      <c r="A65" s="169"/>
      <c r="B65" s="170"/>
      <c r="C65" s="170"/>
      <c r="D65" s="170"/>
      <c r="E65" s="170"/>
      <c r="F65" s="170"/>
      <c r="G65" s="170"/>
    </row>
    <row r="66" spans="1:7" x14ac:dyDescent="0.2">
      <c r="A66" s="169"/>
      <c r="B66" s="170"/>
      <c r="C66" s="170"/>
      <c r="D66" s="170"/>
      <c r="E66" s="170"/>
      <c r="F66" s="170"/>
      <c r="G66" s="170"/>
    </row>
    <row r="67" spans="1:7" x14ac:dyDescent="0.2">
      <c r="A67" s="169"/>
      <c r="B67" s="170"/>
      <c r="C67" s="170"/>
      <c r="D67" s="170"/>
      <c r="E67" s="170"/>
      <c r="F67" s="170"/>
      <c r="G67" s="170"/>
    </row>
    <row r="68" spans="1:7" x14ac:dyDescent="0.2">
      <c r="A68" s="169"/>
      <c r="B68" s="170"/>
      <c r="C68" s="170"/>
      <c r="D68" s="170"/>
      <c r="E68" s="170"/>
      <c r="F68" s="170"/>
      <c r="G68" s="170"/>
    </row>
    <row r="69" spans="1:7" x14ac:dyDescent="0.2">
      <c r="A69" s="169"/>
      <c r="B69" s="170"/>
      <c r="C69" s="170"/>
      <c r="D69" s="170"/>
      <c r="E69" s="170"/>
      <c r="F69" s="170"/>
      <c r="G69" s="170"/>
    </row>
    <row r="70" spans="1:7" x14ac:dyDescent="0.2">
      <c r="A70" s="169"/>
      <c r="B70" s="170"/>
      <c r="C70" s="170"/>
      <c r="D70" s="170"/>
      <c r="E70" s="170"/>
      <c r="F70" s="170"/>
      <c r="G70" s="170"/>
    </row>
    <row r="71" spans="1:7" x14ac:dyDescent="0.2">
      <c r="A71" s="169"/>
      <c r="B71" s="170"/>
      <c r="C71" s="170"/>
      <c r="D71" s="170"/>
      <c r="E71" s="170"/>
      <c r="F71" s="170"/>
      <c r="G71" s="170"/>
    </row>
    <row r="72" spans="1:7" x14ac:dyDescent="0.2">
      <c r="A72" s="169"/>
      <c r="B72" s="170"/>
      <c r="C72" s="170"/>
      <c r="D72" s="170"/>
      <c r="E72" s="170"/>
      <c r="F72" s="170"/>
      <c r="G72" s="170"/>
    </row>
    <row r="73" spans="1:7" x14ac:dyDescent="0.2">
      <c r="A73" s="169"/>
      <c r="B73" s="170"/>
      <c r="C73" s="170"/>
      <c r="D73" s="170"/>
      <c r="E73" s="170"/>
      <c r="F73" s="170"/>
      <c r="G73" s="170"/>
    </row>
    <row r="74" spans="1:7" x14ac:dyDescent="0.2">
      <c r="A74" s="169"/>
      <c r="B74" s="170"/>
      <c r="C74" s="170"/>
      <c r="D74" s="170"/>
      <c r="E74" s="170"/>
      <c r="F74" s="170"/>
      <c r="G74" s="170"/>
    </row>
    <row r="75" spans="1:7" x14ac:dyDescent="0.2">
      <c r="A75" s="169"/>
      <c r="B75" s="170"/>
      <c r="C75" s="170"/>
      <c r="D75" s="170"/>
      <c r="E75" s="170"/>
      <c r="F75" s="170"/>
      <c r="G75" s="170"/>
    </row>
    <row r="76" spans="1:7" x14ac:dyDescent="0.2">
      <c r="A76" s="169"/>
      <c r="B76" s="170"/>
      <c r="C76" s="170"/>
      <c r="D76" s="170"/>
      <c r="E76" s="170"/>
      <c r="F76" s="170"/>
      <c r="G76" s="170"/>
    </row>
    <row r="77" spans="1:7" x14ac:dyDescent="0.2">
      <c r="A77" s="169"/>
      <c r="B77" s="170"/>
      <c r="C77" s="170"/>
      <c r="D77" s="170"/>
      <c r="E77" s="170"/>
      <c r="F77" s="170"/>
      <c r="G77" s="170"/>
    </row>
    <row r="78" spans="1:7" x14ac:dyDescent="0.2">
      <c r="A78" s="169"/>
      <c r="B78" s="170"/>
      <c r="C78" s="170"/>
      <c r="D78" s="170"/>
      <c r="E78" s="170"/>
      <c r="F78" s="170"/>
      <c r="G78" s="170"/>
    </row>
    <row r="79" spans="1:7" x14ac:dyDescent="0.2">
      <c r="A79" s="169"/>
      <c r="B79" s="170"/>
      <c r="C79" s="170"/>
      <c r="D79" s="170"/>
      <c r="E79" s="170"/>
      <c r="F79" s="170"/>
      <c r="G79" s="170"/>
    </row>
    <row r="80" spans="1:7" x14ac:dyDescent="0.2">
      <c r="A80" s="169"/>
      <c r="B80" s="170"/>
      <c r="C80" s="170"/>
      <c r="D80" s="170"/>
      <c r="E80" s="170"/>
      <c r="F80" s="170"/>
      <c r="G80" s="170"/>
    </row>
    <row r="81" spans="1:7" x14ac:dyDescent="0.2">
      <c r="A81" s="169"/>
      <c r="B81" s="170"/>
      <c r="C81" s="170"/>
      <c r="D81" s="170"/>
      <c r="E81" s="170"/>
      <c r="F81" s="170"/>
      <c r="G81" s="170"/>
    </row>
    <row r="82" spans="1:7" x14ac:dyDescent="0.2">
      <c r="A82" s="169"/>
      <c r="B82" s="170"/>
      <c r="C82" s="170"/>
      <c r="D82" s="170"/>
      <c r="E82" s="170"/>
      <c r="F82" s="170"/>
      <c r="G82" s="170"/>
    </row>
    <row r="83" spans="1:7" x14ac:dyDescent="0.2">
      <c r="A83" s="169"/>
      <c r="B83" s="170"/>
      <c r="C83" s="170"/>
      <c r="D83" s="170"/>
      <c r="E83" s="170"/>
      <c r="F83" s="170"/>
      <c r="G83" s="170"/>
    </row>
    <row r="84" spans="1:7" x14ac:dyDescent="0.2">
      <c r="A84" s="169"/>
      <c r="B84" s="170"/>
      <c r="C84" s="170"/>
      <c r="D84" s="170"/>
      <c r="E84" s="170"/>
      <c r="F84" s="170"/>
      <c r="G84" s="170"/>
    </row>
    <row r="85" spans="1:7" x14ac:dyDescent="0.2">
      <c r="A85" s="169"/>
      <c r="B85" s="170"/>
      <c r="C85" s="170"/>
      <c r="D85" s="170"/>
      <c r="E85" s="170"/>
      <c r="F85" s="170"/>
      <c r="G85" s="170"/>
    </row>
    <row r="86" spans="1:7" x14ac:dyDescent="0.2">
      <c r="A86" s="169"/>
      <c r="B86" s="170"/>
      <c r="C86" s="170"/>
      <c r="D86" s="170"/>
      <c r="E86" s="170"/>
      <c r="F86" s="170"/>
      <c r="G86" s="170"/>
    </row>
    <row r="87" spans="1:7" x14ac:dyDescent="0.2">
      <c r="A87" s="169"/>
      <c r="B87" s="170"/>
      <c r="C87" s="170"/>
      <c r="D87" s="170"/>
      <c r="E87" s="170"/>
      <c r="F87" s="170"/>
      <c r="G87" s="170"/>
    </row>
    <row r="88" spans="1:7" x14ac:dyDescent="0.2">
      <c r="A88" s="169"/>
      <c r="B88" s="170"/>
      <c r="C88" s="170"/>
      <c r="D88" s="170"/>
      <c r="E88" s="170"/>
      <c r="F88" s="170"/>
      <c r="G88" s="170"/>
    </row>
    <row r="89" spans="1:7" x14ac:dyDescent="0.2">
      <c r="A89" s="169"/>
      <c r="B89" s="170"/>
      <c r="C89" s="170"/>
      <c r="D89" s="170"/>
      <c r="E89" s="170"/>
      <c r="F89" s="170"/>
      <c r="G89" s="170"/>
    </row>
    <row r="90" spans="1:7" x14ac:dyDescent="0.2">
      <c r="A90" s="169"/>
      <c r="B90" s="170"/>
      <c r="C90" s="170"/>
      <c r="D90" s="170"/>
      <c r="E90" s="170"/>
      <c r="F90" s="170"/>
      <c r="G90" s="170"/>
    </row>
    <row r="91" spans="1:7" x14ac:dyDescent="0.2">
      <c r="A91" s="169"/>
      <c r="B91" s="170"/>
      <c r="C91" s="170"/>
      <c r="D91" s="170"/>
      <c r="E91" s="170"/>
      <c r="F91" s="170"/>
      <c r="G91" s="17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workbookViewId="0">
      <selection activeCell="H1" sqref="H1"/>
    </sheetView>
  </sheetViews>
  <sheetFormatPr defaultRowHeight="12" x14ac:dyDescent="0.2"/>
  <cols>
    <col min="1" max="5" width="15.7109375" style="13" customWidth="1"/>
    <col min="6" max="6" width="15.7109375" style="175" customWidth="1"/>
    <col min="7" max="7" width="15.7109375" style="13" customWidth="1"/>
    <col min="8" max="8" width="16.42578125" style="175" customWidth="1"/>
    <col min="9" max="9" width="16.42578125" style="13" customWidth="1"/>
    <col min="10" max="13" width="13.28515625" style="13" customWidth="1"/>
    <col min="14" max="16384" width="9.140625" style="13"/>
  </cols>
  <sheetData>
    <row r="1" spans="1:8" s="173" customFormat="1" ht="24" x14ac:dyDescent="0.25">
      <c r="A1" s="134" t="s">
        <v>158</v>
      </c>
      <c r="B1" s="135" t="s">
        <v>165</v>
      </c>
      <c r="C1" s="135" t="s">
        <v>166</v>
      </c>
      <c r="D1" s="135" t="s">
        <v>167</v>
      </c>
      <c r="E1" s="135" t="s">
        <v>164</v>
      </c>
      <c r="F1" s="174" t="s">
        <v>168</v>
      </c>
      <c r="G1" s="135" t="s">
        <v>169</v>
      </c>
      <c r="H1" s="176" t="s">
        <v>120</v>
      </c>
    </row>
    <row r="2" spans="1:8" x14ac:dyDescent="0.2">
      <c r="A2" s="169"/>
      <c r="B2" s="170"/>
    </row>
    <row r="3" spans="1:8" x14ac:dyDescent="0.2">
      <c r="A3" s="169"/>
    </row>
    <row r="4" spans="1:8" x14ac:dyDescent="0.2">
      <c r="A4" s="169"/>
    </row>
    <row r="5" spans="1:8" x14ac:dyDescent="0.2">
      <c r="A5" s="169"/>
    </row>
    <row r="6" spans="1:8" x14ac:dyDescent="0.2">
      <c r="A6" s="169"/>
    </row>
    <row r="7" spans="1:8" x14ac:dyDescent="0.2">
      <c r="A7" s="169"/>
    </row>
    <row r="8" spans="1:8" x14ac:dyDescent="0.2">
      <c r="A8" s="169"/>
    </row>
    <row r="9" spans="1:8" x14ac:dyDescent="0.2">
      <c r="A9" s="169"/>
    </row>
    <row r="10" spans="1:8" x14ac:dyDescent="0.2">
      <c r="A10" s="169"/>
    </row>
    <row r="11" spans="1:8" x14ac:dyDescent="0.2">
      <c r="A11" s="169"/>
    </row>
    <row r="12" spans="1:8" x14ac:dyDescent="0.2">
      <c r="A12" s="169"/>
    </row>
    <row r="13" spans="1:8" x14ac:dyDescent="0.2">
      <c r="A13" s="169"/>
    </row>
    <row r="14" spans="1:8" x14ac:dyDescent="0.2">
      <c r="A14" s="169"/>
    </row>
    <row r="15" spans="1:8" x14ac:dyDescent="0.2">
      <c r="A15" s="169"/>
    </row>
    <row r="16" spans="1:8" x14ac:dyDescent="0.2">
      <c r="A16" s="169"/>
    </row>
    <row r="17" spans="1:1" x14ac:dyDescent="0.2">
      <c r="A17" s="169"/>
    </row>
    <row r="18" spans="1:1" x14ac:dyDescent="0.2">
      <c r="A18" s="169"/>
    </row>
    <row r="19" spans="1:1" x14ac:dyDescent="0.2">
      <c r="A19" s="169"/>
    </row>
    <row r="20" spans="1:1" x14ac:dyDescent="0.2">
      <c r="A20" s="169"/>
    </row>
    <row r="21" spans="1:1" x14ac:dyDescent="0.2">
      <c r="A21" s="169"/>
    </row>
    <row r="22" spans="1:1" x14ac:dyDescent="0.2">
      <c r="A22" s="169"/>
    </row>
    <row r="23" spans="1:1" x14ac:dyDescent="0.2">
      <c r="A23" s="169"/>
    </row>
    <row r="24" spans="1:1" x14ac:dyDescent="0.2">
      <c r="A24" s="169"/>
    </row>
    <row r="25" spans="1:1" x14ac:dyDescent="0.2">
      <c r="A25" s="169"/>
    </row>
    <row r="26" spans="1:1" x14ac:dyDescent="0.2">
      <c r="A26" s="169"/>
    </row>
    <row r="27" spans="1:1" x14ac:dyDescent="0.2">
      <c r="A27" s="169"/>
    </row>
    <row r="28" spans="1:1" x14ac:dyDescent="0.2">
      <c r="A28" s="169"/>
    </row>
    <row r="29" spans="1:1" x14ac:dyDescent="0.2">
      <c r="A29" s="169"/>
    </row>
    <row r="30" spans="1:1" x14ac:dyDescent="0.2">
      <c r="A30" s="169"/>
    </row>
    <row r="31" spans="1:1" x14ac:dyDescent="0.2">
      <c r="A31" s="169"/>
    </row>
    <row r="32" spans="1:1" x14ac:dyDescent="0.2">
      <c r="A32" s="169"/>
    </row>
    <row r="33" spans="1:1" x14ac:dyDescent="0.2">
      <c r="A33" s="169"/>
    </row>
    <row r="34" spans="1:1" x14ac:dyDescent="0.2">
      <c r="A34" s="169"/>
    </row>
    <row r="35" spans="1:1" x14ac:dyDescent="0.2">
      <c r="A35" s="169"/>
    </row>
    <row r="36" spans="1:1" x14ac:dyDescent="0.2">
      <c r="A36" s="169"/>
    </row>
    <row r="37" spans="1:1" x14ac:dyDescent="0.2">
      <c r="A37" s="169"/>
    </row>
    <row r="38" spans="1:1" x14ac:dyDescent="0.2">
      <c r="A38" s="169"/>
    </row>
    <row r="39" spans="1:1" x14ac:dyDescent="0.2">
      <c r="A39" s="169"/>
    </row>
    <row r="40" spans="1:1" x14ac:dyDescent="0.2">
      <c r="A40" s="169"/>
    </row>
    <row r="41" spans="1:1" x14ac:dyDescent="0.2">
      <c r="A41" s="169"/>
    </row>
    <row r="42" spans="1:1" x14ac:dyDescent="0.2">
      <c r="A42" s="169"/>
    </row>
    <row r="43" spans="1:1" x14ac:dyDescent="0.2">
      <c r="A43" s="169"/>
    </row>
    <row r="44" spans="1:1" x14ac:dyDescent="0.2">
      <c r="A44" s="169"/>
    </row>
    <row r="45" spans="1:1" x14ac:dyDescent="0.2">
      <c r="A45" s="169"/>
    </row>
    <row r="46" spans="1:1" x14ac:dyDescent="0.2">
      <c r="A46" s="169"/>
    </row>
    <row r="47" spans="1:1" x14ac:dyDescent="0.2">
      <c r="A47" s="169"/>
    </row>
    <row r="48" spans="1:1" x14ac:dyDescent="0.2">
      <c r="A48" s="169"/>
    </row>
    <row r="49" spans="1:1" x14ac:dyDescent="0.2">
      <c r="A49" s="169"/>
    </row>
    <row r="50" spans="1:1" x14ac:dyDescent="0.2">
      <c r="A50" s="169"/>
    </row>
    <row r="51" spans="1:1" x14ac:dyDescent="0.2">
      <c r="A51" s="169"/>
    </row>
    <row r="52" spans="1:1" x14ac:dyDescent="0.2">
      <c r="A52" s="169"/>
    </row>
    <row r="53" spans="1:1" x14ac:dyDescent="0.2">
      <c r="A53" s="169"/>
    </row>
    <row r="54" spans="1:1" x14ac:dyDescent="0.2">
      <c r="A54" s="169"/>
    </row>
    <row r="55" spans="1:1" x14ac:dyDescent="0.2">
      <c r="A55" s="169"/>
    </row>
    <row r="56" spans="1:1" x14ac:dyDescent="0.2">
      <c r="A56" s="169"/>
    </row>
    <row r="57" spans="1:1" x14ac:dyDescent="0.2">
      <c r="A57" s="169"/>
    </row>
    <row r="58" spans="1:1" x14ac:dyDescent="0.2">
      <c r="A58" s="169"/>
    </row>
    <row r="59" spans="1:1" x14ac:dyDescent="0.2">
      <c r="A59" s="169"/>
    </row>
    <row r="60" spans="1:1" x14ac:dyDescent="0.2">
      <c r="A60" s="169"/>
    </row>
    <row r="61" spans="1:1" x14ac:dyDescent="0.2">
      <c r="A61" s="169"/>
    </row>
    <row r="62" spans="1:1" x14ac:dyDescent="0.2">
      <c r="A62" s="169"/>
    </row>
    <row r="63" spans="1:1" x14ac:dyDescent="0.2">
      <c r="A63" s="169"/>
    </row>
    <row r="64" spans="1:1" x14ac:dyDescent="0.2">
      <c r="A64" s="169"/>
    </row>
    <row r="65" spans="1:1" x14ac:dyDescent="0.2">
      <c r="A65" s="169"/>
    </row>
    <row r="66" spans="1:1" x14ac:dyDescent="0.2">
      <c r="A66" s="169"/>
    </row>
    <row r="67" spans="1:1" x14ac:dyDescent="0.2">
      <c r="A67" s="169"/>
    </row>
    <row r="68" spans="1:1" x14ac:dyDescent="0.2">
      <c r="A68" s="169"/>
    </row>
    <row r="69" spans="1:1" x14ac:dyDescent="0.2">
      <c r="A69" s="169"/>
    </row>
    <row r="70" spans="1:1" x14ac:dyDescent="0.2">
      <c r="A70" s="169"/>
    </row>
    <row r="71" spans="1:1" x14ac:dyDescent="0.2">
      <c r="A71" s="169"/>
    </row>
    <row r="72" spans="1:1" x14ac:dyDescent="0.2">
      <c r="A72" s="169"/>
    </row>
    <row r="73" spans="1:1" x14ac:dyDescent="0.2">
      <c r="A73" s="169"/>
    </row>
    <row r="74" spans="1:1" x14ac:dyDescent="0.2">
      <c r="A74" s="169"/>
    </row>
    <row r="75" spans="1:1" x14ac:dyDescent="0.2">
      <c r="A75" s="169"/>
    </row>
    <row r="76" spans="1:1" x14ac:dyDescent="0.2">
      <c r="A76" s="169"/>
    </row>
    <row r="77" spans="1:1" x14ac:dyDescent="0.2">
      <c r="A77" s="169"/>
    </row>
    <row r="78" spans="1:1" x14ac:dyDescent="0.2">
      <c r="A78" s="169"/>
    </row>
    <row r="79" spans="1:1" x14ac:dyDescent="0.2">
      <c r="A79" s="169"/>
    </row>
    <row r="80" spans="1:1" x14ac:dyDescent="0.2">
      <c r="A80" s="169"/>
    </row>
    <row r="81" spans="1:1" x14ac:dyDescent="0.2">
      <c r="A81" s="169"/>
    </row>
    <row r="82" spans="1:1" x14ac:dyDescent="0.2">
      <c r="A82" s="169"/>
    </row>
    <row r="83" spans="1:1" x14ac:dyDescent="0.2">
      <c r="A83" s="169"/>
    </row>
    <row r="84" spans="1:1" x14ac:dyDescent="0.2">
      <c r="A84" s="169"/>
    </row>
    <row r="85" spans="1:1" x14ac:dyDescent="0.2">
      <c r="A85" s="169"/>
    </row>
    <row r="86" spans="1:1" x14ac:dyDescent="0.2">
      <c r="A86" s="169"/>
    </row>
    <row r="87" spans="1:1" x14ac:dyDescent="0.2">
      <c r="A87" s="169"/>
    </row>
    <row r="88" spans="1:1" x14ac:dyDescent="0.2">
      <c r="A88" s="169"/>
    </row>
    <row r="89" spans="1:1" x14ac:dyDescent="0.2">
      <c r="A89" s="169"/>
    </row>
    <row r="90" spans="1:1" x14ac:dyDescent="0.2">
      <c r="A90" s="169"/>
    </row>
    <row r="91" spans="1:1" x14ac:dyDescent="0.2">
      <c r="A91" s="16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6"/>
  <sheetViews>
    <sheetView showGridLines="0" workbookViewId="0">
      <selection activeCell="A2" sqref="A2:C396"/>
    </sheetView>
  </sheetViews>
  <sheetFormatPr defaultRowHeight="12" x14ac:dyDescent="0.2"/>
  <cols>
    <col min="1" max="3" width="15.7109375" style="13" customWidth="1"/>
    <col min="4" max="16384" width="9.140625" style="13"/>
  </cols>
  <sheetData>
    <row r="1" spans="1:3" x14ac:dyDescent="0.2">
      <c r="A1" s="134" t="s">
        <v>158</v>
      </c>
      <c r="B1" s="135" t="s">
        <v>170</v>
      </c>
      <c r="C1" s="135" t="s">
        <v>171</v>
      </c>
    </row>
    <row r="2" spans="1:3" x14ac:dyDescent="0.2">
      <c r="A2" s="169"/>
    </row>
    <row r="3" spans="1:3" x14ac:dyDescent="0.2">
      <c r="A3" s="169"/>
    </row>
    <row r="4" spans="1:3" x14ac:dyDescent="0.2">
      <c r="A4" s="169"/>
    </row>
    <row r="5" spans="1:3" x14ac:dyDescent="0.2">
      <c r="A5" s="169"/>
    </row>
    <row r="6" spans="1:3" x14ac:dyDescent="0.2">
      <c r="A6" s="169"/>
    </row>
    <row r="7" spans="1:3" x14ac:dyDescent="0.2">
      <c r="A7" s="169"/>
    </row>
    <row r="8" spans="1:3" x14ac:dyDescent="0.2">
      <c r="A8" s="169"/>
    </row>
    <row r="9" spans="1:3" x14ac:dyDescent="0.2">
      <c r="A9" s="169"/>
    </row>
    <row r="10" spans="1:3" x14ac:dyDescent="0.2">
      <c r="A10" s="169"/>
    </row>
    <row r="11" spans="1:3" x14ac:dyDescent="0.2">
      <c r="A11" s="169"/>
    </row>
    <row r="12" spans="1:3" x14ac:dyDescent="0.2">
      <c r="A12" s="169"/>
    </row>
    <row r="13" spans="1:3" x14ac:dyDescent="0.2">
      <c r="A13" s="169"/>
    </row>
    <row r="14" spans="1:3" x14ac:dyDescent="0.2">
      <c r="A14" s="169"/>
    </row>
    <row r="15" spans="1:3" x14ac:dyDescent="0.2">
      <c r="A15" s="169"/>
    </row>
    <row r="16" spans="1:3" x14ac:dyDescent="0.2">
      <c r="A16" s="169"/>
    </row>
    <row r="17" spans="1:1" x14ac:dyDescent="0.2">
      <c r="A17" s="169"/>
    </row>
    <row r="18" spans="1:1" x14ac:dyDescent="0.2">
      <c r="A18" s="169"/>
    </row>
    <row r="19" spans="1:1" x14ac:dyDescent="0.2">
      <c r="A19" s="169"/>
    </row>
    <row r="20" spans="1:1" x14ac:dyDescent="0.2">
      <c r="A20" s="169"/>
    </row>
    <row r="21" spans="1:1" x14ac:dyDescent="0.2">
      <c r="A21" s="169"/>
    </row>
    <row r="22" spans="1:1" x14ac:dyDescent="0.2">
      <c r="A22" s="169"/>
    </row>
    <row r="23" spans="1:1" x14ac:dyDescent="0.2">
      <c r="A23" s="169"/>
    </row>
    <row r="24" spans="1:1" x14ac:dyDescent="0.2">
      <c r="A24" s="169"/>
    </row>
    <row r="25" spans="1:1" x14ac:dyDescent="0.2">
      <c r="A25" s="169"/>
    </row>
    <row r="26" spans="1:1" x14ac:dyDescent="0.2">
      <c r="A26" s="169"/>
    </row>
    <row r="27" spans="1:1" x14ac:dyDescent="0.2">
      <c r="A27" s="169"/>
    </row>
    <row r="28" spans="1:1" x14ac:dyDescent="0.2">
      <c r="A28" s="169"/>
    </row>
    <row r="29" spans="1:1" x14ac:dyDescent="0.2">
      <c r="A29" s="169"/>
    </row>
    <row r="30" spans="1:1" x14ac:dyDescent="0.2">
      <c r="A30" s="169"/>
    </row>
    <row r="31" spans="1:1" x14ac:dyDescent="0.2">
      <c r="A31" s="169"/>
    </row>
    <row r="32" spans="1:1" x14ac:dyDescent="0.2">
      <c r="A32" s="169"/>
    </row>
    <row r="33" spans="1:1" x14ac:dyDescent="0.2">
      <c r="A33" s="169"/>
    </row>
    <row r="34" spans="1:1" x14ac:dyDescent="0.2">
      <c r="A34" s="169"/>
    </row>
    <row r="35" spans="1:1" x14ac:dyDescent="0.2">
      <c r="A35" s="169"/>
    </row>
    <row r="36" spans="1:1" x14ac:dyDescent="0.2">
      <c r="A36" s="169"/>
    </row>
    <row r="37" spans="1:1" x14ac:dyDescent="0.2">
      <c r="A37" s="169"/>
    </row>
    <row r="38" spans="1:1" x14ac:dyDescent="0.2">
      <c r="A38" s="169"/>
    </row>
    <row r="39" spans="1:1" x14ac:dyDescent="0.2">
      <c r="A39" s="169"/>
    </row>
    <row r="40" spans="1:1" x14ac:dyDescent="0.2">
      <c r="A40" s="169"/>
    </row>
    <row r="41" spans="1:1" x14ac:dyDescent="0.2">
      <c r="A41" s="169"/>
    </row>
    <row r="42" spans="1:1" x14ac:dyDescent="0.2">
      <c r="A42" s="169"/>
    </row>
    <row r="43" spans="1:1" x14ac:dyDescent="0.2">
      <c r="A43" s="169"/>
    </row>
    <row r="44" spans="1:1" x14ac:dyDescent="0.2">
      <c r="A44" s="169"/>
    </row>
    <row r="45" spans="1:1" x14ac:dyDescent="0.2">
      <c r="A45" s="169"/>
    </row>
    <row r="46" spans="1:1" x14ac:dyDescent="0.2">
      <c r="A46" s="169"/>
    </row>
    <row r="47" spans="1:1" x14ac:dyDescent="0.2">
      <c r="A47" s="169"/>
    </row>
    <row r="48" spans="1:1" x14ac:dyDescent="0.2">
      <c r="A48" s="169"/>
    </row>
    <row r="49" spans="1:1" x14ac:dyDescent="0.2">
      <c r="A49" s="169"/>
    </row>
    <row r="50" spans="1:1" x14ac:dyDescent="0.2">
      <c r="A50" s="169"/>
    </row>
    <row r="51" spans="1:1" x14ac:dyDescent="0.2">
      <c r="A51" s="169"/>
    </row>
    <row r="52" spans="1:1" x14ac:dyDescent="0.2">
      <c r="A52" s="169"/>
    </row>
    <row r="53" spans="1:1" x14ac:dyDescent="0.2">
      <c r="A53" s="169"/>
    </row>
    <row r="54" spans="1:1" x14ac:dyDescent="0.2">
      <c r="A54" s="169"/>
    </row>
    <row r="55" spans="1:1" x14ac:dyDescent="0.2">
      <c r="A55" s="169"/>
    </row>
    <row r="56" spans="1:1" x14ac:dyDescent="0.2">
      <c r="A56" s="169"/>
    </row>
    <row r="57" spans="1:1" x14ac:dyDescent="0.2">
      <c r="A57" s="169"/>
    </row>
    <row r="58" spans="1:1" x14ac:dyDescent="0.2">
      <c r="A58" s="169"/>
    </row>
    <row r="59" spans="1:1" x14ac:dyDescent="0.2">
      <c r="A59" s="169"/>
    </row>
    <row r="60" spans="1:1" x14ac:dyDescent="0.2">
      <c r="A60" s="169"/>
    </row>
    <row r="61" spans="1:1" x14ac:dyDescent="0.2">
      <c r="A61" s="169"/>
    </row>
    <row r="62" spans="1:1" x14ac:dyDescent="0.2">
      <c r="A62" s="169"/>
    </row>
    <row r="63" spans="1:1" x14ac:dyDescent="0.2">
      <c r="A63" s="169"/>
    </row>
    <row r="64" spans="1:1" x14ac:dyDescent="0.2">
      <c r="A64" s="169"/>
    </row>
    <row r="65" spans="1:1" x14ac:dyDescent="0.2">
      <c r="A65" s="169"/>
    </row>
    <row r="66" spans="1:1" x14ac:dyDescent="0.2">
      <c r="A66" s="169"/>
    </row>
    <row r="67" spans="1:1" x14ac:dyDescent="0.2">
      <c r="A67" s="169"/>
    </row>
    <row r="68" spans="1:1" x14ac:dyDescent="0.2">
      <c r="A68" s="169"/>
    </row>
    <row r="69" spans="1:1" x14ac:dyDescent="0.2">
      <c r="A69" s="169"/>
    </row>
    <row r="70" spans="1:1" x14ac:dyDescent="0.2">
      <c r="A70" s="169"/>
    </row>
    <row r="71" spans="1:1" x14ac:dyDescent="0.2">
      <c r="A71" s="169"/>
    </row>
    <row r="72" spans="1:1" x14ac:dyDescent="0.2">
      <c r="A72" s="169"/>
    </row>
    <row r="73" spans="1:1" x14ac:dyDescent="0.2">
      <c r="A73" s="169"/>
    </row>
    <row r="74" spans="1:1" x14ac:dyDescent="0.2">
      <c r="A74" s="169"/>
    </row>
    <row r="75" spans="1:1" x14ac:dyDescent="0.2">
      <c r="A75" s="169"/>
    </row>
    <row r="76" spans="1:1" x14ac:dyDescent="0.2">
      <c r="A76" s="169"/>
    </row>
    <row r="77" spans="1:1" x14ac:dyDescent="0.2">
      <c r="A77" s="169"/>
    </row>
    <row r="78" spans="1:1" x14ac:dyDescent="0.2">
      <c r="A78" s="169"/>
    </row>
    <row r="79" spans="1:1" x14ac:dyDescent="0.2">
      <c r="A79" s="169"/>
    </row>
    <row r="80" spans="1:1" x14ac:dyDescent="0.2">
      <c r="A80" s="169"/>
    </row>
    <row r="81" spans="1:1" x14ac:dyDescent="0.2">
      <c r="A81" s="169"/>
    </row>
    <row r="82" spans="1:1" x14ac:dyDescent="0.2">
      <c r="A82" s="169"/>
    </row>
    <row r="83" spans="1:1" x14ac:dyDescent="0.2">
      <c r="A83" s="169"/>
    </row>
    <row r="84" spans="1:1" x14ac:dyDescent="0.2">
      <c r="A84" s="169"/>
    </row>
    <row r="85" spans="1:1" x14ac:dyDescent="0.2">
      <c r="A85" s="169"/>
    </row>
    <row r="86" spans="1:1" x14ac:dyDescent="0.2">
      <c r="A86" s="169"/>
    </row>
    <row r="87" spans="1:1" x14ac:dyDescent="0.2">
      <c r="A87" s="169"/>
    </row>
    <row r="88" spans="1:1" x14ac:dyDescent="0.2">
      <c r="A88" s="169"/>
    </row>
    <row r="89" spans="1:1" x14ac:dyDescent="0.2">
      <c r="A89" s="169"/>
    </row>
    <row r="90" spans="1:1" x14ac:dyDescent="0.2">
      <c r="A90" s="169"/>
    </row>
    <row r="91" spans="1:1" x14ac:dyDescent="0.2">
      <c r="A91" s="169"/>
    </row>
    <row r="92" spans="1:1" x14ac:dyDescent="0.2">
      <c r="A92" s="169"/>
    </row>
    <row r="93" spans="1:1" x14ac:dyDescent="0.2">
      <c r="A93" s="169"/>
    </row>
    <row r="94" spans="1:1" x14ac:dyDescent="0.2">
      <c r="A94" s="169"/>
    </row>
    <row r="95" spans="1:1" x14ac:dyDescent="0.2">
      <c r="A95" s="169"/>
    </row>
    <row r="96" spans="1:1" x14ac:dyDescent="0.2">
      <c r="A96" s="169"/>
    </row>
    <row r="97" spans="1:1" x14ac:dyDescent="0.2">
      <c r="A97" s="169"/>
    </row>
    <row r="98" spans="1:1" x14ac:dyDescent="0.2">
      <c r="A98" s="169"/>
    </row>
    <row r="99" spans="1:1" x14ac:dyDescent="0.2">
      <c r="A99" s="169"/>
    </row>
    <row r="100" spans="1:1" x14ac:dyDescent="0.2">
      <c r="A100" s="169"/>
    </row>
    <row r="101" spans="1:1" x14ac:dyDescent="0.2">
      <c r="A101" s="169"/>
    </row>
    <row r="102" spans="1:1" x14ac:dyDescent="0.2">
      <c r="A102" s="169"/>
    </row>
    <row r="103" spans="1:1" x14ac:dyDescent="0.2">
      <c r="A103" s="169"/>
    </row>
    <row r="104" spans="1:1" x14ac:dyDescent="0.2">
      <c r="A104" s="169"/>
    </row>
    <row r="105" spans="1:1" x14ac:dyDescent="0.2">
      <c r="A105" s="169"/>
    </row>
    <row r="106" spans="1:1" x14ac:dyDescent="0.2">
      <c r="A106" s="169"/>
    </row>
    <row r="107" spans="1:1" x14ac:dyDescent="0.2">
      <c r="A107" s="169"/>
    </row>
    <row r="108" spans="1:1" x14ac:dyDescent="0.2">
      <c r="A108" s="169"/>
    </row>
    <row r="109" spans="1:1" x14ac:dyDescent="0.2">
      <c r="A109" s="169"/>
    </row>
    <row r="110" spans="1:1" x14ac:dyDescent="0.2">
      <c r="A110" s="169"/>
    </row>
    <row r="111" spans="1:1" x14ac:dyDescent="0.2">
      <c r="A111" s="169"/>
    </row>
    <row r="112" spans="1:1" x14ac:dyDescent="0.2">
      <c r="A112" s="169"/>
    </row>
    <row r="113" spans="1:1" x14ac:dyDescent="0.2">
      <c r="A113" s="169"/>
    </row>
    <row r="114" spans="1:1" x14ac:dyDescent="0.2">
      <c r="A114" s="169"/>
    </row>
    <row r="115" spans="1:1" x14ac:dyDescent="0.2">
      <c r="A115" s="169"/>
    </row>
    <row r="116" spans="1:1" x14ac:dyDescent="0.2">
      <c r="A116" s="169"/>
    </row>
    <row r="117" spans="1:1" x14ac:dyDescent="0.2">
      <c r="A117" s="169"/>
    </row>
    <row r="118" spans="1:1" x14ac:dyDescent="0.2">
      <c r="A118" s="169"/>
    </row>
    <row r="119" spans="1:1" x14ac:dyDescent="0.2">
      <c r="A119" s="169"/>
    </row>
    <row r="120" spans="1:1" x14ac:dyDescent="0.2">
      <c r="A120" s="169"/>
    </row>
    <row r="121" spans="1:1" x14ac:dyDescent="0.2">
      <c r="A121" s="169"/>
    </row>
    <row r="122" spans="1:1" x14ac:dyDescent="0.2">
      <c r="A122" s="169"/>
    </row>
    <row r="123" spans="1:1" x14ac:dyDescent="0.2">
      <c r="A123" s="169"/>
    </row>
    <row r="124" spans="1:1" x14ac:dyDescent="0.2">
      <c r="A124" s="169"/>
    </row>
    <row r="125" spans="1:1" x14ac:dyDescent="0.2">
      <c r="A125" s="169"/>
    </row>
    <row r="126" spans="1:1" x14ac:dyDescent="0.2">
      <c r="A126" s="169"/>
    </row>
    <row r="127" spans="1:1" x14ac:dyDescent="0.2">
      <c r="A127" s="169"/>
    </row>
    <row r="128" spans="1:1" x14ac:dyDescent="0.2">
      <c r="A128" s="169"/>
    </row>
    <row r="129" spans="1:1" x14ac:dyDescent="0.2">
      <c r="A129" s="169"/>
    </row>
    <row r="130" spans="1:1" x14ac:dyDescent="0.2">
      <c r="A130" s="169"/>
    </row>
    <row r="131" spans="1:1" x14ac:dyDescent="0.2">
      <c r="A131" s="169"/>
    </row>
    <row r="132" spans="1:1" x14ac:dyDescent="0.2">
      <c r="A132" s="169"/>
    </row>
    <row r="133" spans="1:1" x14ac:dyDescent="0.2">
      <c r="A133" s="169"/>
    </row>
    <row r="134" spans="1:1" x14ac:dyDescent="0.2">
      <c r="A134" s="169"/>
    </row>
    <row r="135" spans="1:1" x14ac:dyDescent="0.2">
      <c r="A135" s="169"/>
    </row>
    <row r="136" spans="1:1" x14ac:dyDescent="0.2">
      <c r="A136" s="169"/>
    </row>
    <row r="137" spans="1:1" x14ac:dyDescent="0.2">
      <c r="A137" s="169"/>
    </row>
    <row r="138" spans="1:1" x14ac:dyDescent="0.2">
      <c r="A138" s="169"/>
    </row>
    <row r="139" spans="1:1" x14ac:dyDescent="0.2">
      <c r="A139" s="169"/>
    </row>
    <row r="140" spans="1:1" x14ac:dyDescent="0.2">
      <c r="A140" s="169"/>
    </row>
    <row r="141" spans="1:1" x14ac:dyDescent="0.2">
      <c r="A141" s="169"/>
    </row>
    <row r="142" spans="1:1" x14ac:dyDescent="0.2">
      <c r="A142" s="169"/>
    </row>
    <row r="143" spans="1:1" x14ac:dyDescent="0.2">
      <c r="A143" s="169"/>
    </row>
    <row r="144" spans="1:1" x14ac:dyDescent="0.2">
      <c r="A144" s="169"/>
    </row>
    <row r="145" spans="1:1" x14ac:dyDescent="0.2">
      <c r="A145" s="169"/>
    </row>
    <row r="146" spans="1:1" x14ac:dyDescent="0.2">
      <c r="A146" s="169"/>
    </row>
    <row r="147" spans="1:1" x14ac:dyDescent="0.2">
      <c r="A147" s="169"/>
    </row>
    <row r="148" spans="1:1" x14ac:dyDescent="0.2">
      <c r="A148" s="169"/>
    </row>
    <row r="149" spans="1:1" x14ac:dyDescent="0.2">
      <c r="A149" s="169"/>
    </row>
    <row r="150" spans="1:1" x14ac:dyDescent="0.2">
      <c r="A150" s="169"/>
    </row>
    <row r="151" spans="1:1" x14ac:dyDescent="0.2">
      <c r="A151" s="169"/>
    </row>
    <row r="152" spans="1:1" x14ac:dyDescent="0.2">
      <c r="A152" s="169"/>
    </row>
    <row r="153" spans="1:1" x14ac:dyDescent="0.2">
      <c r="A153" s="169"/>
    </row>
    <row r="154" spans="1:1" x14ac:dyDescent="0.2">
      <c r="A154" s="169"/>
    </row>
    <row r="155" spans="1:1" x14ac:dyDescent="0.2">
      <c r="A155" s="169"/>
    </row>
    <row r="156" spans="1:1" x14ac:dyDescent="0.2">
      <c r="A156" s="169"/>
    </row>
    <row r="157" spans="1:1" x14ac:dyDescent="0.2">
      <c r="A157" s="169"/>
    </row>
    <row r="158" spans="1:1" x14ac:dyDescent="0.2">
      <c r="A158" s="169"/>
    </row>
    <row r="159" spans="1:1" x14ac:dyDescent="0.2">
      <c r="A159" s="169"/>
    </row>
    <row r="160" spans="1:1" x14ac:dyDescent="0.2">
      <c r="A160" s="169"/>
    </row>
    <row r="161" spans="1:1" x14ac:dyDescent="0.2">
      <c r="A161" s="169"/>
    </row>
    <row r="162" spans="1:1" x14ac:dyDescent="0.2">
      <c r="A162" s="169"/>
    </row>
    <row r="163" spans="1:1" x14ac:dyDescent="0.2">
      <c r="A163" s="169"/>
    </row>
    <row r="164" spans="1:1" x14ac:dyDescent="0.2">
      <c r="A164" s="169"/>
    </row>
    <row r="165" spans="1:1" x14ac:dyDescent="0.2">
      <c r="A165" s="169"/>
    </row>
    <row r="166" spans="1:1" x14ac:dyDescent="0.2">
      <c r="A166" s="169"/>
    </row>
    <row r="167" spans="1:1" x14ac:dyDescent="0.2">
      <c r="A167" s="169"/>
    </row>
    <row r="168" spans="1:1" x14ac:dyDescent="0.2">
      <c r="A168" s="169"/>
    </row>
    <row r="169" spans="1:1" x14ac:dyDescent="0.2">
      <c r="A169" s="169"/>
    </row>
    <row r="170" spans="1:1" x14ac:dyDescent="0.2">
      <c r="A170" s="169"/>
    </row>
    <row r="171" spans="1:1" x14ac:dyDescent="0.2">
      <c r="A171" s="169"/>
    </row>
    <row r="172" spans="1:1" x14ac:dyDescent="0.2">
      <c r="A172" s="169"/>
    </row>
    <row r="173" spans="1:1" x14ac:dyDescent="0.2">
      <c r="A173" s="169"/>
    </row>
    <row r="174" spans="1:1" x14ac:dyDescent="0.2">
      <c r="A174" s="169"/>
    </row>
    <row r="175" spans="1:1" x14ac:dyDescent="0.2">
      <c r="A175" s="169"/>
    </row>
    <row r="176" spans="1:1" x14ac:dyDescent="0.2">
      <c r="A176" s="169"/>
    </row>
    <row r="177" spans="1:1" x14ac:dyDescent="0.2">
      <c r="A177" s="169"/>
    </row>
    <row r="178" spans="1:1" x14ac:dyDescent="0.2">
      <c r="A178" s="169"/>
    </row>
    <row r="179" spans="1:1" x14ac:dyDescent="0.2">
      <c r="A179" s="169"/>
    </row>
    <row r="180" spans="1:1" x14ac:dyDescent="0.2">
      <c r="A180" s="169"/>
    </row>
    <row r="181" spans="1:1" x14ac:dyDescent="0.2">
      <c r="A181" s="169"/>
    </row>
    <row r="182" spans="1:1" x14ac:dyDescent="0.2">
      <c r="A182" s="169"/>
    </row>
    <row r="183" spans="1:1" x14ac:dyDescent="0.2">
      <c r="A183" s="169"/>
    </row>
    <row r="184" spans="1:1" x14ac:dyDescent="0.2">
      <c r="A184" s="169"/>
    </row>
    <row r="185" spans="1:1" x14ac:dyDescent="0.2">
      <c r="A185" s="169"/>
    </row>
    <row r="186" spans="1:1" x14ac:dyDescent="0.2">
      <c r="A186" s="169"/>
    </row>
    <row r="187" spans="1:1" x14ac:dyDescent="0.2">
      <c r="A187" s="169"/>
    </row>
    <row r="188" spans="1:1" x14ac:dyDescent="0.2">
      <c r="A188" s="169"/>
    </row>
    <row r="189" spans="1:1" x14ac:dyDescent="0.2">
      <c r="A189" s="169"/>
    </row>
    <row r="190" spans="1:1" x14ac:dyDescent="0.2">
      <c r="A190" s="169"/>
    </row>
    <row r="191" spans="1:1" x14ac:dyDescent="0.2">
      <c r="A191" s="169"/>
    </row>
    <row r="192" spans="1:1" x14ac:dyDescent="0.2">
      <c r="A192" s="169"/>
    </row>
    <row r="193" spans="1:1" x14ac:dyDescent="0.2">
      <c r="A193" s="169"/>
    </row>
    <row r="194" spans="1:1" x14ac:dyDescent="0.2">
      <c r="A194" s="169"/>
    </row>
    <row r="195" spans="1:1" x14ac:dyDescent="0.2">
      <c r="A195" s="169"/>
    </row>
    <row r="196" spans="1:1" x14ac:dyDescent="0.2">
      <c r="A196" s="169"/>
    </row>
    <row r="197" spans="1:1" x14ac:dyDescent="0.2">
      <c r="A197" s="169"/>
    </row>
    <row r="198" spans="1:1" x14ac:dyDescent="0.2">
      <c r="A198" s="169"/>
    </row>
    <row r="199" spans="1:1" x14ac:dyDescent="0.2">
      <c r="A199" s="169"/>
    </row>
    <row r="200" spans="1:1" x14ac:dyDescent="0.2">
      <c r="A200" s="169"/>
    </row>
    <row r="201" spans="1:1" x14ac:dyDescent="0.2">
      <c r="A201" s="169"/>
    </row>
    <row r="202" spans="1:1" x14ac:dyDescent="0.2">
      <c r="A202" s="169"/>
    </row>
    <row r="203" spans="1:1" x14ac:dyDescent="0.2">
      <c r="A203" s="169"/>
    </row>
    <row r="204" spans="1:1" x14ac:dyDescent="0.2">
      <c r="A204" s="169"/>
    </row>
    <row r="205" spans="1:1" x14ac:dyDescent="0.2">
      <c r="A205" s="169"/>
    </row>
    <row r="206" spans="1:1" x14ac:dyDescent="0.2">
      <c r="A206" s="169"/>
    </row>
    <row r="207" spans="1:1" x14ac:dyDescent="0.2">
      <c r="A207" s="169"/>
    </row>
    <row r="208" spans="1:1" x14ac:dyDescent="0.2">
      <c r="A208" s="169"/>
    </row>
    <row r="209" spans="1:1" x14ac:dyDescent="0.2">
      <c r="A209" s="169"/>
    </row>
    <row r="210" spans="1:1" x14ac:dyDescent="0.2">
      <c r="A210" s="169"/>
    </row>
    <row r="211" spans="1:1" x14ac:dyDescent="0.2">
      <c r="A211" s="169"/>
    </row>
    <row r="212" spans="1:1" x14ac:dyDescent="0.2">
      <c r="A212" s="169"/>
    </row>
    <row r="213" spans="1:1" x14ac:dyDescent="0.2">
      <c r="A213" s="169"/>
    </row>
    <row r="214" spans="1:1" x14ac:dyDescent="0.2">
      <c r="A214" s="169"/>
    </row>
    <row r="215" spans="1:1" x14ac:dyDescent="0.2">
      <c r="A215" s="169"/>
    </row>
    <row r="216" spans="1:1" x14ac:dyDescent="0.2">
      <c r="A216" s="169"/>
    </row>
    <row r="217" spans="1:1" x14ac:dyDescent="0.2">
      <c r="A217" s="169"/>
    </row>
    <row r="218" spans="1:1" x14ac:dyDescent="0.2">
      <c r="A218" s="169"/>
    </row>
    <row r="219" spans="1:1" x14ac:dyDescent="0.2">
      <c r="A219" s="169"/>
    </row>
    <row r="220" spans="1:1" x14ac:dyDescent="0.2">
      <c r="A220" s="169"/>
    </row>
    <row r="221" spans="1:1" x14ac:dyDescent="0.2">
      <c r="A221" s="169"/>
    </row>
    <row r="222" spans="1:1" x14ac:dyDescent="0.2">
      <c r="A222" s="169"/>
    </row>
    <row r="223" spans="1:1" x14ac:dyDescent="0.2">
      <c r="A223" s="169"/>
    </row>
    <row r="224" spans="1:1" x14ac:dyDescent="0.2">
      <c r="A224" s="169"/>
    </row>
    <row r="225" spans="1:1" x14ac:dyDescent="0.2">
      <c r="A225" s="169"/>
    </row>
    <row r="226" spans="1:1" x14ac:dyDescent="0.2">
      <c r="A226" s="169"/>
    </row>
    <row r="227" spans="1:1" x14ac:dyDescent="0.2">
      <c r="A227" s="169"/>
    </row>
    <row r="228" spans="1:1" x14ac:dyDescent="0.2">
      <c r="A228" s="169"/>
    </row>
    <row r="229" spans="1:1" x14ac:dyDescent="0.2">
      <c r="A229" s="169"/>
    </row>
    <row r="230" spans="1:1" x14ac:dyDescent="0.2">
      <c r="A230" s="169"/>
    </row>
    <row r="231" spans="1:1" x14ac:dyDescent="0.2">
      <c r="A231" s="169"/>
    </row>
    <row r="232" spans="1:1" x14ac:dyDescent="0.2">
      <c r="A232" s="169"/>
    </row>
    <row r="233" spans="1:1" x14ac:dyDescent="0.2">
      <c r="A233" s="169"/>
    </row>
    <row r="234" spans="1:1" x14ac:dyDescent="0.2">
      <c r="A234" s="169"/>
    </row>
    <row r="235" spans="1:1" x14ac:dyDescent="0.2">
      <c r="A235" s="169"/>
    </row>
    <row r="236" spans="1:1" x14ac:dyDescent="0.2">
      <c r="A236" s="169"/>
    </row>
    <row r="237" spans="1:1" x14ac:dyDescent="0.2">
      <c r="A237" s="169"/>
    </row>
    <row r="238" spans="1:1" x14ac:dyDescent="0.2">
      <c r="A238" s="169"/>
    </row>
    <row r="239" spans="1:1" x14ac:dyDescent="0.2">
      <c r="A239" s="169"/>
    </row>
    <row r="240" spans="1:1" x14ac:dyDescent="0.2">
      <c r="A240" s="169"/>
    </row>
    <row r="241" spans="1:1" x14ac:dyDescent="0.2">
      <c r="A241" s="169"/>
    </row>
    <row r="242" spans="1:1" x14ac:dyDescent="0.2">
      <c r="A242" s="169"/>
    </row>
    <row r="243" spans="1:1" x14ac:dyDescent="0.2">
      <c r="A243" s="169"/>
    </row>
    <row r="244" spans="1:1" x14ac:dyDescent="0.2">
      <c r="A244" s="169"/>
    </row>
    <row r="245" spans="1:1" x14ac:dyDescent="0.2">
      <c r="A245" s="169"/>
    </row>
    <row r="246" spans="1:1" x14ac:dyDescent="0.2">
      <c r="A246" s="169"/>
    </row>
    <row r="247" spans="1:1" x14ac:dyDescent="0.2">
      <c r="A247" s="169"/>
    </row>
    <row r="248" spans="1:1" x14ac:dyDescent="0.2">
      <c r="A248" s="169"/>
    </row>
    <row r="249" spans="1:1" x14ac:dyDescent="0.2">
      <c r="A249" s="169"/>
    </row>
    <row r="250" spans="1:1" x14ac:dyDescent="0.2">
      <c r="A250" s="169"/>
    </row>
    <row r="251" spans="1:1" x14ac:dyDescent="0.2">
      <c r="A251" s="169"/>
    </row>
    <row r="252" spans="1:1" x14ac:dyDescent="0.2">
      <c r="A252" s="169"/>
    </row>
    <row r="253" spans="1:1" x14ac:dyDescent="0.2">
      <c r="A253" s="169"/>
    </row>
    <row r="254" spans="1:1" x14ac:dyDescent="0.2">
      <c r="A254" s="169"/>
    </row>
    <row r="255" spans="1:1" x14ac:dyDescent="0.2">
      <c r="A255" s="169"/>
    </row>
    <row r="256" spans="1:1" x14ac:dyDescent="0.2">
      <c r="A256" s="169"/>
    </row>
    <row r="257" spans="1:1" x14ac:dyDescent="0.2">
      <c r="A257" s="169"/>
    </row>
    <row r="258" spans="1:1" x14ac:dyDescent="0.2">
      <c r="A258" s="169"/>
    </row>
    <row r="259" spans="1:1" x14ac:dyDescent="0.2">
      <c r="A259" s="169"/>
    </row>
    <row r="260" spans="1:1" x14ac:dyDescent="0.2">
      <c r="A260" s="169"/>
    </row>
    <row r="261" spans="1:1" x14ac:dyDescent="0.2">
      <c r="A261" s="169"/>
    </row>
    <row r="262" spans="1:1" x14ac:dyDescent="0.2">
      <c r="A262" s="169"/>
    </row>
    <row r="263" spans="1:1" x14ac:dyDescent="0.2">
      <c r="A263" s="169"/>
    </row>
    <row r="264" spans="1:1" x14ac:dyDescent="0.2">
      <c r="A264" s="169"/>
    </row>
    <row r="265" spans="1:1" x14ac:dyDescent="0.2">
      <c r="A265" s="169"/>
    </row>
    <row r="266" spans="1:1" x14ac:dyDescent="0.2">
      <c r="A266" s="169"/>
    </row>
    <row r="267" spans="1:1" x14ac:dyDescent="0.2">
      <c r="A267" s="169"/>
    </row>
    <row r="268" spans="1:1" x14ac:dyDescent="0.2">
      <c r="A268" s="169"/>
    </row>
    <row r="269" spans="1:1" x14ac:dyDescent="0.2">
      <c r="A269" s="169"/>
    </row>
    <row r="270" spans="1:1" x14ac:dyDescent="0.2">
      <c r="A270" s="169"/>
    </row>
    <row r="271" spans="1:1" x14ac:dyDescent="0.2">
      <c r="A271" s="169"/>
    </row>
    <row r="272" spans="1:1" x14ac:dyDescent="0.2">
      <c r="A272" s="169"/>
    </row>
    <row r="273" spans="1:1" x14ac:dyDescent="0.2">
      <c r="A273" s="169"/>
    </row>
    <row r="274" spans="1:1" x14ac:dyDescent="0.2">
      <c r="A274" s="169"/>
    </row>
    <row r="275" spans="1:1" x14ac:dyDescent="0.2">
      <c r="A275" s="169"/>
    </row>
    <row r="276" spans="1:1" x14ac:dyDescent="0.2">
      <c r="A276" s="169"/>
    </row>
    <row r="277" spans="1:1" x14ac:dyDescent="0.2">
      <c r="A277" s="169"/>
    </row>
    <row r="278" spans="1:1" x14ac:dyDescent="0.2">
      <c r="A278" s="169"/>
    </row>
    <row r="279" spans="1:1" x14ac:dyDescent="0.2">
      <c r="A279" s="169"/>
    </row>
    <row r="280" spans="1:1" x14ac:dyDescent="0.2">
      <c r="A280" s="169"/>
    </row>
    <row r="281" spans="1:1" x14ac:dyDescent="0.2">
      <c r="A281" s="169"/>
    </row>
    <row r="282" spans="1:1" x14ac:dyDescent="0.2">
      <c r="A282" s="169"/>
    </row>
    <row r="283" spans="1:1" x14ac:dyDescent="0.2">
      <c r="A283" s="169"/>
    </row>
    <row r="284" spans="1:1" x14ac:dyDescent="0.2">
      <c r="A284" s="169"/>
    </row>
    <row r="285" spans="1:1" x14ac:dyDescent="0.2">
      <c r="A285" s="169"/>
    </row>
    <row r="286" spans="1:1" x14ac:dyDescent="0.2">
      <c r="A286" s="169"/>
    </row>
    <row r="287" spans="1:1" x14ac:dyDescent="0.2">
      <c r="A287" s="169"/>
    </row>
    <row r="288" spans="1:1" x14ac:dyDescent="0.2">
      <c r="A288" s="169"/>
    </row>
    <row r="289" spans="1:1" x14ac:dyDescent="0.2">
      <c r="A289" s="169"/>
    </row>
    <row r="290" spans="1:1" x14ac:dyDescent="0.2">
      <c r="A290" s="169"/>
    </row>
    <row r="291" spans="1:1" x14ac:dyDescent="0.2">
      <c r="A291" s="169"/>
    </row>
    <row r="292" spans="1:1" x14ac:dyDescent="0.2">
      <c r="A292" s="169"/>
    </row>
    <row r="293" spans="1:1" x14ac:dyDescent="0.2">
      <c r="A293" s="169"/>
    </row>
    <row r="294" spans="1:1" x14ac:dyDescent="0.2">
      <c r="A294" s="169"/>
    </row>
    <row r="295" spans="1:1" x14ac:dyDescent="0.2">
      <c r="A295" s="169"/>
    </row>
    <row r="296" spans="1:1" x14ac:dyDescent="0.2">
      <c r="A296" s="169"/>
    </row>
    <row r="297" spans="1:1" x14ac:dyDescent="0.2">
      <c r="A297" s="169"/>
    </row>
    <row r="298" spans="1:1" x14ac:dyDescent="0.2">
      <c r="A298" s="169"/>
    </row>
    <row r="299" spans="1:1" x14ac:dyDescent="0.2">
      <c r="A299" s="169"/>
    </row>
    <row r="300" spans="1:1" x14ac:dyDescent="0.2">
      <c r="A300" s="169"/>
    </row>
    <row r="301" spans="1:1" x14ac:dyDescent="0.2">
      <c r="A301" s="169"/>
    </row>
    <row r="302" spans="1:1" x14ac:dyDescent="0.2">
      <c r="A302" s="169"/>
    </row>
    <row r="303" spans="1:1" x14ac:dyDescent="0.2">
      <c r="A303" s="169"/>
    </row>
    <row r="304" spans="1:1" x14ac:dyDescent="0.2">
      <c r="A304" s="169"/>
    </row>
    <row r="305" spans="1:1" x14ac:dyDescent="0.2">
      <c r="A305" s="169"/>
    </row>
    <row r="306" spans="1:1" x14ac:dyDescent="0.2">
      <c r="A306" s="169"/>
    </row>
    <row r="307" spans="1:1" x14ac:dyDescent="0.2">
      <c r="A307" s="169"/>
    </row>
    <row r="308" spans="1:1" x14ac:dyDescent="0.2">
      <c r="A308" s="169"/>
    </row>
    <row r="309" spans="1:1" x14ac:dyDescent="0.2">
      <c r="A309" s="169"/>
    </row>
    <row r="310" spans="1:1" x14ac:dyDescent="0.2">
      <c r="A310" s="169"/>
    </row>
    <row r="311" spans="1:1" x14ac:dyDescent="0.2">
      <c r="A311" s="169"/>
    </row>
    <row r="312" spans="1:1" x14ac:dyDescent="0.2">
      <c r="A312" s="169"/>
    </row>
    <row r="313" spans="1:1" x14ac:dyDescent="0.2">
      <c r="A313" s="169"/>
    </row>
    <row r="314" spans="1:1" x14ac:dyDescent="0.2">
      <c r="A314" s="169"/>
    </row>
    <row r="315" spans="1:1" x14ac:dyDescent="0.2">
      <c r="A315" s="169"/>
    </row>
    <row r="316" spans="1:1" x14ac:dyDescent="0.2">
      <c r="A316" s="169"/>
    </row>
    <row r="317" spans="1:1" x14ac:dyDescent="0.2">
      <c r="A317" s="169"/>
    </row>
    <row r="318" spans="1:1" x14ac:dyDescent="0.2">
      <c r="A318" s="169"/>
    </row>
    <row r="319" spans="1:1" x14ac:dyDescent="0.2">
      <c r="A319" s="169"/>
    </row>
    <row r="320" spans="1:1" x14ac:dyDescent="0.2">
      <c r="A320" s="169"/>
    </row>
    <row r="321" spans="1:1" x14ac:dyDescent="0.2">
      <c r="A321" s="169"/>
    </row>
    <row r="322" spans="1:1" x14ac:dyDescent="0.2">
      <c r="A322" s="169"/>
    </row>
    <row r="323" spans="1:1" x14ac:dyDescent="0.2">
      <c r="A323" s="169"/>
    </row>
    <row r="324" spans="1:1" x14ac:dyDescent="0.2">
      <c r="A324" s="169"/>
    </row>
    <row r="325" spans="1:1" x14ac:dyDescent="0.2">
      <c r="A325" s="169"/>
    </row>
    <row r="326" spans="1:1" x14ac:dyDescent="0.2">
      <c r="A326" s="169"/>
    </row>
    <row r="327" spans="1:1" x14ac:dyDescent="0.2">
      <c r="A327" s="169"/>
    </row>
    <row r="328" spans="1:1" x14ac:dyDescent="0.2">
      <c r="A328" s="169"/>
    </row>
    <row r="329" spans="1:1" x14ac:dyDescent="0.2">
      <c r="A329" s="169"/>
    </row>
    <row r="330" spans="1:1" x14ac:dyDescent="0.2">
      <c r="A330" s="169"/>
    </row>
    <row r="331" spans="1:1" x14ac:dyDescent="0.2">
      <c r="A331" s="169"/>
    </row>
    <row r="332" spans="1:1" x14ac:dyDescent="0.2">
      <c r="A332" s="169"/>
    </row>
    <row r="333" spans="1:1" x14ac:dyDescent="0.2">
      <c r="A333" s="169"/>
    </row>
    <row r="334" spans="1:1" x14ac:dyDescent="0.2">
      <c r="A334" s="169"/>
    </row>
    <row r="335" spans="1:1" x14ac:dyDescent="0.2">
      <c r="A335" s="169"/>
    </row>
    <row r="336" spans="1:1" x14ac:dyDescent="0.2">
      <c r="A336" s="169"/>
    </row>
    <row r="337" spans="1:1" x14ac:dyDescent="0.2">
      <c r="A337" s="169"/>
    </row>
    <row r="338" spans="1:1" x14ac:dyDescent="0.2">
      <c r="A338" s="169"/>
    </row>
    <row r="339" spans="1:1" x14ac:dyDescent="0.2">
      <c r="A339" s="169"/>
    </row>
    <row r="340" spans="1:1" x14ac:dyDescent="0.2">
      <c r="A340" s="169"/>
    </row>
    <row r="341" spans="1:1" x14ac:dyDescent="0.2">
      <c r="A341" s="169"/>
    </row>
    <row r="342" spans="1:1" x14ac:dyDescent="0.2">
      <c r="A342" s="169"/>
    </row>
    <row r="343" spans="1:1" x14ac:dyDescent="0.2">
      <c r="A343" s="169"/>
    </row>
    <row r="344" spans="1:1" x14ac:dyDescent="0.2">
      <c r="A344" s="169"/>
    </row>
    <row r="345" spans="1:1" x14ac:dyDescent="0.2">
      <c r="A345" s="169"/>
    </row>
    <row r="346" spans="1:1" x14ac:dyDescent="0.2">
      <c r="A346" s="169"/>
    </row>
    <row r="347" spans="1:1" x14ac:dyDescent="0.2">
      <c r="A347" s="169"/>
    </row>
    <row r="348" spans="1:1" x14ac:dyDescent="0.2">
      <c r="A348" s="169"/>
    </row>
    <row r="349" spans="1:1" x14ac:dyDescent="0.2">
      <c r="A349" s="169"/>
    </row>
    <row r="350" spans="1:1" x14ac:dyDescent="0.2">
      <c r="A350" s="169"/>
    </row>
    <row r="351" spans="1:1" x14ac:dyDescent="0.2">
      <c r="A351" s="169"/>
    </row>
    <row r="352" spans="1:1" x14ac:dyDescent="0.2">
      <c r="A352" s="169"/>
    </row>
    <row r="353" spans="1:1" x14ac:dyDescent="0.2">
      <c r="A353" s="169"/>
    </row>
    <row r="354" spans="1:1" x14ac:dyDescent="0.2">
      <c r="A354" s="169"/>
    </row>
    <row r="355" spans="1:1" x14ac:dyDescent="0.2">
      <c r="A355" s="169"/>
    </row>
    <row r="356" spans="1:1" x14ac:dyDescent="0.2">
      <c r="A356" s="169"/>
    </row>
    <row r="357" spans="1:1" x14ac:dyDescent="0.2">
      <c r="A357" s="169"/>
    </row>
    <row r="358" spans="1:1" x14ac:dyDescent="0.2">
      <c r="A358" s="169"/>
    </row>
    <row r="359" spans="1:1" x14ac:dyDescent="0.2">
      <c r="A359" s="169"/>
    </row>
    <row r="360" spans="1:1" x14ac:dyDescent="0.2">
      <c r="A360" s="169"/>
    </row>
    <row r="361" spans="1:1" x14ac:dyDescent="0.2">
      <c r="A361" s="169"/>
    </row>
    <row r="362" spans="1:1" x14ac:dyDescent="0.2">
      <c r="A362" s="169"/>
    </row>
    <row r="363" spans="1:1" x14ac:dyDescent="0.2">
      <c r="A363" s="169"/>
    </row>
    <row r="364" spans="1:1" x14ac:dyDescent="0.2">
      <c r="A364" s="169"/>
    </row>
    <row r="365" spans="1:1" x14ac:dyDescent="0.2">
      <c r="A365" s="169"/>
    </row>
    <row r="366" spans="1:1" x14ac:dyDescent="0.2">
      <c r="A366" s="169"/>
    </row>
    <row r="367" spans="1:1" x14ac:dyDescent="0.2">
      <c r="A367" s="169"/>
    </row>
    <row r="368" spans="1:1" x14ac:dyDescent="0.2">
      <c r="A368" s="169"/>
    </row>
    <row r="369" spans="1:1" x14ac:dyDescent="0.2">
      <c r="A369" s="169"/>
    </row>
    <row r="370" spans="1:1" x14ac:dyDescent="0.2">
      <c r="A370" s="169"/>
    </row>
    <row r="371" spans="1:1" x14ac:dyDescent="0.2">
      <c r="A371" s="169"/>
    </row>
    <row r="372" spans="1:1" x14ac:dyDescent="0.2">
      <c r="A372" s="169"/>
    </row>
    <row r="373" spans="1:1" x14ac:dyDescent="0.2">
      <c r="A373" s="169"/>
    </row>
    <row r="374" spans="1:1" x14ac:dyDescent="0.2">
      <c r="A374" s="169"/>
    </row>
    <row r="375" spans="1:1" x14ac:dyDescent="0.2">
      <c r="A375" s="169"/>
    </row>
    <row r="376" spans="1:1" x14ac:dyDescent="0.2">
      <c r="A376" s="169"/>
    </row>
    <row r="377" spans="1:1" x14ac:dyDescent="0.2">
      <c r="A377" s="169"/>
    </row>
    <row r="378" spans="1:1" x14ac:dyDescent="0.2">
      <c r="A378" s="169"/>
    </row>
    <row r="379" spans="1:1" x14ac:dyDescent="0.2">
      <c r="A379" s="169"/>
    </row>
    <row r="380" spans="1:1" x14ac:dyDescent="0.2">
      <c r="A380" s="169"/>
    </row>
    <row r="381" spans="1:1" x14ac:dyDescent="0.2">
      <c r="A381" s="169"/>
    </row>
    <row r="382" spans="1:1" x14ac:dyDescent="0.2">
      <c r="A382" s="169"/>
    </row>
    <row r="383" spans="1:1" x14ac:dyDescent="0.2">
      <c r="A383" s="169"/>
    </row>
    <row r="384" spans="1:1" x14ac:dyDescent="0.2">
      <c r="A384" s="169"/>
    </row>
    <row r="385" spans="1:1" x14ac:dyDescent="0.2">
      <c r="A385" s="169"/>
    </row>
    <row r="386" spans="1:1" x14ac:dyDescent="0.2">
      <c r="A386" s="169"/>
    </row>
    <row r="387" spans="1:1" x14ac:dyDescent="0.2">
      <c r="A387" s="169"/>
    </row>
    <row r="388" spans="1:1" x14ac:dyDescent="0.2">
      <c r="A388" s="169"/>
    </row>
    <row r="389" spans="1:1" x14ac:dyDescent="0.2">
      <c r="A389" s="169"/>
    </row>
    <row r="390" spans="1:1" x14ac:dyDescent="0.2">
      <c r="A390" s="169"/>
    </row>
    <row r="391" spans="1:1" x14ac:dyDescent="0.2">
      <c r="A391" s="169"/>
    </row>
    <row r="392" spans="1:1" x14ac:dyDescent="0.2">
      <c r="A392" s="169"/>
    </row>
    <row r="393" spans="1:1" x14ac:dyDescent="0.2">
      <c r="A393" s="169"/>
    </row>
    <row r="394" spans="1:1" x14ac:dyDescent="0.2">
      <c r="A394" s="169"/>
    </row>
    <row r="395" spans="1:1" x14ac:dyDescent="0.2">
      <c r="A395" s="169"/>
    </row>
    <row r="396" spans="1:1" x14ac:dyDescent="0.2">
      <c r="A396" s="1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84</vt:i4>
      </vt:variant>
    </vt:vector>
  </HeadingPairs>
  <TitlesOfParts>
    <vt:vector size="94" baseType="lpstr">
      <vt:lpstr>Budget Vs Actuals</vt:lpstr>
      <vt:lpstr>Dashboard</vt:lpstr>
      <vt:lpstr>Revenue Model</vt:lpstr>
      <vt:lpstr>Operating Model</vt:lpstr>
      <vt:lpstr>Payroll Model</vt:lpstr>
      <vt:lpstr>Profit and Loss Export</vt:lpstr>
      <vt:lpstr>MRR Export</vt:lpstr>
      <vt:lpstr>Customer Export</vt:lpstr>
      <vt:lpstr>Forecast Export</vt:lpstr>
      <vt:lpstr>Controls</vt:lpstr>
      <vt:lpstr>ARPU_Array</vt:lpstr>
      <vt:lpstr>Churn_Array</vt:lpstr>
      <vt:lpstr>Churn_Base_Case</vt:lpstr>
      <vt:lpstr>Churn_Fallback</vt:lpstr>
      <vt:lpstr>Churn_Optimistic</vt:lpstr>
      <vt:lpstr>Contract_Labor_COS</vt:lpstr>
      <vt:lpstr>Contract_Labor_G_A</vt:lpstr>
      <vt:lpstr>Contract_Labor_R_D</vt:lpstr>
      <vt:lpstr>Contract_Labor_S_M</vt:lpstr>
      <vt:lpstr>COS_Payroll</vt:lpstr>
      <vt:lpstr>Customer_Export_Churned_Customers</vt:lpstr>
      <vt:lpstr>Customer_Export_Contractions</vt:lpstr>
      <vt:lpstr>Customer_Export_Date</vt:lpstr>
      <vt:lpstr>Customer_Export_Expansions</vt:lpstr>
      <vt:lpstr>Customer_Export_New_Customers</vt:lpstr>
      <vt:lpstr>Customer_Export_Reactivated_Customers</vt:lpstr>
      <vt:lpstr>Customer_Export_Total_Customers</vt:lpstr>
      <vt:lpstr>Expansion_ARPU_Base_Case</vt:lpstr>
      <vt:lpstr>Expansion_ARPU_Fallback</vt:lpstr>
      <vt:lpstr>Expansion_ARPU_Optimistic</vt:lpstr>
      <vt:lpstr>Expansions_Base_Case</vt:lpstr>
      <vt:lpstr>Expansions_Fallback</vt:lpstr>
      <vt:lpstr>Expansions_Optimistic</vt:lpstr>
      <vt:lpstr>Forecast_Export_Date</vt:lpstr>
      <vt:lpstr>Forecast_Export_Monthly</vt:lpstr>
      <vt:lpstr>Forecast_Export_Yearly</vt:lpstr>
      <vt:lpstr>Forecast_Start_Date</vt:lpstr>
      <vt:lpstr>G_A_Payroll</vt:lpstr>
      <vt:lpstr>Gross_Burn_Array</vt:lpstr>
      <vt:lpstr>Historicals_Start_Date</vt:lpstr>
      <vt:lpstr>Input_Types</vt:lpstr>
      <vt:lpstr>Investment_Amount</vt:lpstr>
      <vt:lpstr>Investment_Date</vt:lpstr>
      <vt:lpstr>MRR_Export_Churn</vt:lpstr>
      <vt:lpstr>MRR_Export_Contraction</vt:lpstr>
      <vt:lpstr>MRR_Export_Date</vt:lpstr>
      <vt:lpstr>MRR_Export_Expansion</vt:lpstr>
      <vt:lpstr>MRR_Export_New</vt:lpstr>
      <vt:lpstr>MRR_Export_Reactivation</vt:lpstr>
      <vt:lpstr>Net_Income_Array</vt:lpstr>
      <vt:lpstr>New_Customer_ARPU_Base_Case</vt:lpstr>
      <vt:lpstr>New_Customer_ARPU_Fallback</vt:lpstr>
      <vt:lpstr>New_Customer_ARPU_Optimistic</vt:lpstr>
      <vt:lpstr>New_Customers_Base_Case</vt:lpstr>
      <vt:lpstr>New_Customers_Fallback</vt:lpstr>
      <vt:lpstr>New_Customers_Optimistic</vt:lpstr>
      <vt:lpstr>Operating_Model_Months</vt:lpstr>
      <vt:lpstr>Payroll_Benefits_Array_COS</vt:lpstr>
      <vt:lpstr>Payroll_Benefits_Array_G_A</vt:lpstr>
      <vt:lpstr>Payroll_Benefits_Array_R_D</vt:lpstr>
      <vt:lpstr>Payroll_Benefits_Array_S_M</vt:lpstr>
      <vt:lpstr>Payroll_Mappings</vt:lpstr>
      <vt:lpstr>Payroll_Months</vt:lpstr>
      <vt:lpstr>Payroll_Taxes_Array_COS</vt:lpstr>
      <vt:lpstr>Payroll_Taxes_Array_G_A</vt:lpstr>
      <vt:lpstr>Payroll_Taxes_Array_R_D</vt:lpstr>
      <vt:lpstr>Payroll_Taxes_Array_S_M</vt:lpstr>
      <vt:lpstr>PnL_Apr_2017</vt:lpstr>
      <vt:lpstr>PnL_Aug_2017</vt:lpstr>
      <vt:lpstr>PnL_Dec_2017</vt:lpstr>
      <vt:lpstr>PnL_Feb_2017</vt:lpstr>
      <vt:lpstr>PnL_Jan_2017</vt:lpstr>
      <vt:lpstr>PnL_Jul_2017</vt:lpstr>
      <vt:lpstr>PnL_Jun_2017</vt:lpstr>
      <vt:lpstr>PnL_Mar_2017</vt:lpstr>
      <vt:lpstr>PnL_May_2017</vt:lpstr>
      <vt:lpstr>PnL_Nov_2017</vt:lpstr>
      <vt:lpstr>PnL_Oct_2017</vt:lpstr>
      <vt:lpstr>PnL_Sep_2017</vt:lpstr>
      <vt:lpstr>Dashboard!Print_Area</vt:lpstr>
      <vt:lpstr>Profit_and_Loss_Categories</vt:lpstr>
      <vt:lpstr>R_D_Payroll</vt:lpstr>
      <vt:lpstr>Revenue_Forecast_Array</vt:lpstr>
      <vt:lpstr>Revenue_Model_Months</vt:lpstr>
      <vt:lpstr>S_M_Payroll</vt:lpstr>
      <vt:lpstr>Salaries_Array_COS</vt:lpstr>
      <vt:lpstr>Salaries_Array_G_A</vt:lpstr>
      <vt:lpstr>Salaries_Array_R_D</vt:lpstr>
      <vt:lpstr>Salaries_Array_S_M</vt:lpstr>
      <vt:lpstr>Scenario</vt:lpstr>
      <vt:lpstr>Starting_Cash_Balance</vt:lpstr>
      <vt:lpstr>Total_Cost_of_Sales</vt:lpstr>
      <vt:lpstr>Total_Expenses</vt:lpstr>
      <vt:lpstr>Total_Income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P</dc:creator>
  <cp:lastModifiedBy>Jaakko P</cp:lastModifiedBy>
  <cp:lastPrinted>2017-04-14T01:58:45Z</cp:lastPrinted>
  <dcterms:created xsi:type="dcterms:W3CDTF">2016-11-13T21:41:39Z</dcterms:created>
  <dcterms:modified xsi:type="dcterms:W3CDTF">2017-05-02T13:15:56Z</dcterms:modified>
</cp:coreProperties>
</file>